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05" windowHeight="11640" activeTab="0"/>
  </bookViews>
  <sheets>
    <sheet name="FC922 &amp; FC9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Mark Pavlica</author>
  </authors>
  <commentList>
    <comment ref="D17" authorId="0">
      <text>
        <r>
          <rPr>
            <sz val="8"/>
            <rFont val="Tahoma"/>
            <family val="0"/>
          </rPr>
          <t xml:space="preserve">Indicated the number of NACs used on this periphery board
</t>
        </r>
      </text>
    </comment>
    <comment ref="D22" authorId="0">
      <text>
        <r>
          <rPr>
            <sz val="8"/>
            <rFont val="Tahoma"/>
            <family val="2"/>
          </rPr>
          <t>Indicated the number of NACs used on this periphery board</t>
        </r>
      </text>
    </comment>
    <comment ref="C18" authorId="0">
      <text>
        <r>
          <rPr>
            <sz val="8"/>
            <rFont val="Tahoma"/>
            <family val="0"/>
          </rPr>
          <t xml:space="preserve">Do not include aux power for Network Annunciators or Remote Annunciators - they are included elsewhere
</t>
        </r>
      </text>
    </comment>
    <comment ref="C23" authorId="0">
      <text>
        <r>
          <rPr>
            <sz val="8"/>
            <rFont val="Tahoma"/>
            <family val="2"/>
          </rPr>
          <t>Do not include aux power for Network Annunciators or Remote Annunciators - they are included elsewhere</t>
        </r>
      </text>
    </comment>
    <comment ref="B31" authorId="0">
      <text>
        <r>
          <rPr>
            <sz val="8"/>
            <rFont val="Tahoma"/>
            <family val="0"/>
          </rPr>
          <t xml:space="preserve">Required for remote annunciator and remote printer module - max 8 per RS-485
</t>
        </r>
      </text>
    </comment>
    <comment ref="B40" authorId="0">
      <text>
        <r>
          <rPr>
            <sz val="8"/>
            <rFont val="Tahoma"/>
            <family val="0"/>
          </rPr>
          <t xml:space="preserve">Requires an RS-485 module
</t>
        </r>
      </text>
    </comment>
    <comment ref="B34" authorId="0">
      <text>
        <r>
          <rPr>
            <sz val="8"/>
            <rFont val="Tahoma"/>
            <family val="2"/>
          </rPr>
          <t>Requires an RS-485 module</t>
        </r>
      </text>
    </comment>
    <comment ref="B35" authorId="0">
      <text>
        <r>
          <rPr>
            <sz val="8"/>
            <rFont val="Tahoma"/>
            <family val="2"/>
          </rPr>
          <t>Requires an RS-485 module</t>
        </r>
      </text>
    </comment>
    <comment ref="A43" authorId="0">
      <text>
        <r>
          <rPr>
            <sz val="8"/>
            <rFont val="Tahoma"/>
            <family val="0"/>
          </rPr>
          <t xml:space="preserve">Requires 1.4 mA per device
</t>
        </r>
      </text>
    </comment>
    <comment ref="A44" authorId="0">
      <text>
        <r>
          <rPr>
            <sz val="8"/>
            <rFont val="Tahoma"/>
            <family val="2"/>
          </rPr>
          <t>Requires 1.4 mA per device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sz val="8"/>
            <rFont val="Tahoma"/>
            <family val="2"/>
          </rPr>
          <t>Requires 1.4 mA per device</t>
        </r>
      </text>
    </comment>
    <comment ref="A52" authorId="0">
      <text>
        <r>
          <rPr>
            <sz val="8"/>
            <rFont val="Tahoma"/>
            <family val="2"/>
          </rPr>
          <t>Requires 1.4 mA per device</t>
        </r>
      </text>
    </comment>
    <comment ref="A53" authorId="0">
      <text>
        <r>
          <rPr>
            <sz val="8"/>
            <rFont val="Tahoma"/>
            <family val="2"/>
          </rPr>
          <t>Requires 1.4 mA per device</t>
        </r>
      </text>
    </comment>
    <comment ref="A54" authorId="0">
      <text>
        <r>
          <rPr>
            <sz val="8"/>
            <rFont val="Tahoma"/>
            <family val="2"/>
          </rPr>
          <t>Requires 1.4 mA per device</t>
        </r>
      </text>
    </comment>
    <comment ref="A55" authorId="0">
      <text>
        <r>
          <rPr>
            <sz val="8"/>
            <rFont val="Tahoma"/>
            <family val="2"/>
          </rPr>
          <t>Requires 1.4 mA per device</t>
        </r>
      </text>
    </comment>
    <comment ref="A56" authorId="0">
      <text>
        <r>
          <rPr>
            <sz val="8"/>
            <rFont val="Tahoma"/>
            <family val="2"/>
          </rPr>
          <t>Requires 1.4 mA per device</t>
        </r>
      </text>
    </comment>
    <comment ref="A57" authorId="0">
      <text>
        <r>
          <rPr>
            <sz val="8"/>
            <rFont val="Tahoma"/>
            <family val="2"/>
          </rPr>
          <t>Requires 1.4 mA per device</t>
        </r>
      </text>
    </comment>
    <comment ref="A58" authorId="0">
      <text>
        <r>
          <rPr>
            <sz val="8"/>
            <rFont val="Tahoma"/>
            <family val="2"/>
          </rPr>
          <t>Requires 1.4 mA per device</t>
        </r>
      </text>
    </comment>
    <comment ref="A46" authorId="0">
      <text>
        <r>
          <rPr>
            <sz val="8"/>
            <rFont val="Tahoma"/>
            <family val="2"/>
          </rPr>
          <t>Requires 0.75 mA per device</t>
        </r>
      </text>
    </comment>
    <comment ref="A47" authorId="0">
      <text>
        <r>
          <rPr>
            <sz val="8"/>
            <rFont val="Tahoma"/>
            <family val="2"/>
          </rPr>
          <t>Requires 0.68 mA per device</t>
        </r>
      </text>
    </comment>
    <comment ref="A48" authorId="0">
      <text>
        <r>
          <rPr>
            <sz val="8"/>
            <rFont val="Tahoma"/>
            <family val="2"/>
          </rPr>
          <t>Requires 0.28 mA per device</t>
        </r>
      </text>
    </comment>
    <comment ref="A49" authorId="0">
      <text>
        <r>
          <rPr>
            <sz val="8"/>
            <rFont val="Tahoma"/>
            <family val="2"/>
          </rPr>
          <t>Requires .28 mA per device</t>
        </r>
      </text>
    </comment>
    <comment ref="A50" authorId="0">
      <text>
        <r>
          <rPr>
            <sz val="8"/>
            <rFont val="Tahoma"/>
            <family val="2"/>
          </rPr>
          <t>Requires 0.28 mA per device</t>
        </r>
      </text>
    </comment>
    <comment ref="A51" authorId="0">
      <text>
        <r>
          <rPr>
            <sz val="8"/>
            <rFont val="Tahoma"/>
            <family val="2"/>
          </rPr>
          <t>Requires 1 mA per device</t>
        </r>
      </text>
    </comment>
    <comment ref="A27" authorId="0">
      <text>
        <r>
          <rPr>
            <sz val="8"/>
            <rFont val="Tahoma"/>
            <family val="2"/>
          </rPr>
          <t>The system supports EITHER a NAC expander or a releasing module - not both!</t>
        </r>
      </text>
    </comment>
    <comment ref="D12" authorId="0">
      <text>
        <r>
          <rPr>
            <sz val="8"/>
            <rFont val="Tahoma"/>
            <family val="2"/>
          </rPr>
          <t>Include Operating Units in Network terminals powered from this panel</t>
        </r>
      </text>
    </comment>
    <comment ref="D13" authorId="0">
      <text>
        <r>
          <rPr>
            <sz val="8"/>
            <rFont val="Tahoma"/>
            <family val="2"/>
          </rPr>
          <t>Include Operating Units in Network terminals powered from this panel</t>
        </r>
      </text>
    </comment>
    <comment ref="A20" authorId="0">
      <text>
        <r>
          <rPr>
            <sz val="8"/>
            <rFont val="Tahoma"/>
            <family val="2"/>
          </rPr>
          <t>Only 1 periphery board per system supported!</t>
        </r>
      </text>
    </comment>
    <comment ref="B36" authorId="0">
      <text>
        <r>
          <rPr>
            <sz val="8"/>
            <rFont val="Tahoma"/>
            <family val="2"/>
          </rPr>
          <t>Needed for every Operating Unit in a Network Terminal</t>
        </r>
      </text>
    </comment>
    <comment ref="D26" authorId="0">
      <text>
        <r>
          <rPr>
            <sz val="8"/>
            <rFont val="Tahoma"/>
            <family val="2"/>
          </rPr>
          <t>Indicated the number of NACs used on this expander board</t>
        </r>
      </text>
    </comment>
    <comment ref="F17" authorId="0">
      <text>
        <r>
          <rPr>
            <sz val="8"/>
            <rFont val="Tahoma"/>
            <family val="2"/>
          </rPr>
          <t>Include the TOTAL NAC power for this board</t>
        </r>
      </text>
    </comment>
    <comment ref="F22" authorId="0">
      <text>
        <r>
          <rPr>
            <sz val="8"/>
            <rFont val="Tahoma"/>
            <family val="2"/>
          </rPr>
          <t>Include the TOTAL NAC power for this board</t>
        </r>
      </text>
    </comment>
    <comment ref="F26" authorId="0">
      <text>
        <r>
          <rPr>
            <sz val="8"/>
            <rFont val="Tahoma"/>
            <family val="2"/>
          </rPr>
          <t>Include the TOTAL NAC power for this board</t>
        </r>
      </text>
    </comment>
    <comment ref="D28" authorId="0">
      <text>
        <r>
          <rPr>
            <sz val="8"/>
            <rFont val="Tahoma"/>
            <family val="2"/>
          </rPr>
          <t>Indicated the number of releasing circuits used on this board</t>
        </r>
      </text>
    </comment>
    <comment ref="F28" authorId="0">
      <text>
        <r>
          <rPr>
            <sz val="8"/>
            <rFont val="Tahoma"/>
            <family val="2"/>
          </rPr>
          <t>Include the TOTAL releasing power for this board</t>
        </r>
      </text>
    </comment>
  </commentList>
</comments>
</file>

<file path=xl/sharedStrings.xml><?xml version="1.0" encoding="utf-8"?>
<sst xmlns="http://schemas.openxmlformats.org/spreadsheetml/2006/main" count="140" uniqueCount="114">
  <si>
    <t>FC922/FC924 Battery Calc Sheet</t>
  </si>
  <si>
    <t>Module</t>
  </si>
  <si>
    <t>Module Feature</t>
  </si>
  <si>
    <t>FCM2018-U3</t>
  </si>
  <si>
    <t>FCM2019-U3</t>
  </si>
  <si>
    <t>FCI2016-U1</t>
  </si>
  <si>
    <t>Bell Follower</t>
  </si>
  <si>
    <t>FCI2017-U1</t>
  </si>
  <si>
    <t>FCI2011-U1</t>
  </si>
  <si>
    <t>FCI2020-U1</t>
  </si>
  <si>
    <t>Leased Line</t>
  </si>
  <si>
    <t>City Tie</t>
  </si>
  <si>
    <t>FN2001-A1</t>
  </si>
  <si>
    <t>FCA2016-U1</t>
  </si>
  <si>
    <t>FN2006-U1</t>
  </si>
  <si>
    <t>FN2007-U1</t>
  </si>
  <si>
    <t>FT2014-xx</t>
  </si>
  <si>
    <t>FT2015-xx</t>
  </si>
  <si>
    <t>FTI2001-A1</t>
  </si>
  <si>
    <t>FCA2015-U1</t>
  </si>
  <si>
    <t>FCA2018-U1</t>
  </si>
  <si>
    <t>Devices</t>
  </si>
  <si>
    <t>Qty</t>
  </si>
  <si>
    <t>OOHC941</t>
  </si>
  <si>
    <t>OOH941</t>
  </si>
  <si>
    <t>OH921</t>
  </si>
  <si>
    <t>OP921</t>
  </si>
  <si>
    <t>HI921</t>
  </si>
  <si>
    <t>Total</t>
  </si>
  <si>
    <t>FDCIO422</t>
  </si>
  <si>
    <t>HFP-11 / 8713</t>
  </si>
  <si>
    <t>HFPO-11 / 8710</t>
  </si>
  <si>
    <t>HFPT-11 / 8712</t>
  </si>
  <si>
    <t>HTRI-S / 8702</t>
  </si>
  <si>
    <t>HTRI-D / 8703</t>
  </si>
  <si>
    <t>HTRI-R / 8704</t>
  </si>
  <si>
    <t>HZM / 8705</t>
  </si>
  <si>
    <t>HCP / 8706</t>
  </si>
  <si>
    <t>ILED / 8726</t>
  </si>
  <si>
    <t>LED zones</t>
  </si>
  <si>
    <t>SLC load</t>
  </si>
  <si>
    <t>Yes</t>
  </si>
  <si>
    <t>No</t>
  </si>
  <si>
    <t>DACT</t>
  </si>
  <si>
    <t>Standard Operating Unit</t>
  </si>
  <si>
    <t>Enhanced Operating Unit</t>
  </si>
  <si>
    <t>With LED zones</t>
  </si>
  <si>
    <t>252 pt Periphery Board</t>
  </si>
  <si>
    <t>504 pt Periphery Board</t>
  </si>
  <si>
    <t>NAC expander</t>
  </si>
  <si>
    <t>Releasing module</t>
  </si>
  <si>
    <t>City Tie/Leased Line module</t>
  </si>
  <si>
    <t>SafeDLink Network module</t>
  </si>
  <si>
    <t>Single-mode fiber module</t>
  </si>
  <si>
    <t>Multi-mode fiber module</t>
  </si>
  <si>
    <t>Remote annunciator - display</t>
  </si>
  <si>
    <t>Remote annunciator - control</t>
  </si>
  <si>
    <t>Network terminal board</t>
  </si>
  <si>
    <t>LED expansion module</t>
  </si>
  <si>
    <t>RS-485 module</t>
  </si>
  <si>
    <t>Remote printer module</t>
  </si>
  <si>
    <t>Photo-thermal detector</t>
  </si>
  <si>
    <t>Photo detector</t>
  </si>
  <si>
    <t>Thermal detector</t>
  </si>
  <si>
    <t>Dual optical/thermal/CO detector</t>
  </si>
  <si>
    <t>Dual optical/thermal detector</t>
  </si>
  <si>
    <t>4-input/4-output module</t>
  </si>
  <si>
    <t>Manual station</t>
  </si>
  <si>
    <t>Single input module</t>
  </si>
  <si>
    <t>Dual input module</t>
  </si>
  <si>
    <t>Singl input/single relay module</t>
  </si>
  <si>
    <t>Conventional zone module</t>
  </si>
  <si>
    <t>Addressable control point</t>
  </si>
  <si>
    <t>Intelligent LED</t>
  </si>
  <si>
    <t>NAC load</t>
  </si>
  <si>
    <t>Aux power load</t>
  </si>
  <si>
    <t>Releasing load</t>
  </si>
  <si>
    <t>Total Current</t>
  </si>
  <si>
    <t>Battery Reserve</t>
  </si>
  <si>
    <t>AH required (no reserve)</t>
  </si>
  <si>
    <t>AH Required (with reserve)</t>
  </si>
  <si>
    <t>Not Installed</t>
  </si>
  <si>
    <t>Description</t>
  </si>
  <si>
    <t xml:space="preserve">Alarm Current </t>
  </si>
  <si>
    <t>Standby Current</t>
  </si>
  <si>
    <t>Ref. No.</t>
  </si>
  <si>
    <t>Submitted By:</t>
  </si>
  <si>
    <t>Standby Time (hrs)</t>
  </si>
  <si>
    <t>Alarm Time (min)</t>
  </si>
  <si>
    <t>Enter value</t>
  </si>
  <si>
    <t>Select choice</t>
  </si>
  <si>
    <t>Fixed</t>
  </si>
  <si>
    <t>Calculated</t>
  </si>
  <si>
    <t>XCI2001-U1</t>
  </si>
  <si>
    <t>FCM2023-U3</t>
  </si>
  <si>
    <t>HMS / 8700-S-D-M</t>
  </si>
  <si>
    <t>Project Name:</t>
  </si>
  <si>
    <t>Project Location:</t>
  </si>
  <si>
    <t>Panel Location:</t>
  </si>
  <si>
    <t>Node No:</t>
  </si>
  <si>
    <t>Date:</t>
  </si>
  <si>
    <t>Stdby/Alm</t>
  </si>
  <si>
    <t>1.4 mA per device</t>
  </si>
  <si>
    <t>0.75 mA per device</t>
  </si>
  <si>
    <t>0.68 mA per device</t>
  </si>
  <si>
    <t>0.28 mA per device</t>
  </si>
  <si>
    <t>1.0 mA per device</t>
  </si>
  <si>
    <t>(included above)</t>
  </si>
  <si>
    <t>Battery Size Provided</t>
  </si>
  <si>
    <t>AH</t>
  </si>
  <si>
    <t>Version 1.2</t>
  </si>
  <si>
    <t>Hilotn Garden Hotel</t>
  </si>
  <si>
    <t>145 Jetport Boulevard</t>
  </si>
  <si>
    <t>yes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</si>
</sst>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</numFmts>
  <fonts count="41"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9" fontId="3" fillId="33" borderId="0" xfId="57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vertical="top"/>
      <protection/>
    </xf>
    <xf numFmtId="0" fontId="0" fillId="33" borderId="14" xfId="0" applyFill="1" applyBorder="1" applyAlignment="1" applyProtection="1">
      <alignment vertical="top"/>
      <protection/>
    </xf>
    <xf numFmtId="0" fontId="0" fillId="33" borderId="22" xfId="0" applyFill="1" applyBorder="1" applyAlignment="1" applyProtection="1">
      <alignment vertical="top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65" fontId="0" fillId="33" borderId="27" xfId="0" applyNumberFormat="1" applyFill="1" applyBorder="1" applyAlignment="1" applyProtection="1">
      <alignment/>
      <protection/>
    </xf>
    <xf numFmtId="1" fontId="0" fillId="33" borderId="28" xfId="0" applyNumberFormat="1" applyFill="1" applyBorder="1" applyAlignment="1">
      <alignment horizontal="center"/>
    </xf>
    <xf numFmtId="165" fontId="0" fillId="33" borderId="29" xfId="0" applyNumberFormat="1" applyFill="1" applyBorder="1" applyAlignment="1" applyProtection="1">
      <alignment/>
      <protection/>
    </xf>
    <xf numFmtId="0" fontId="0" fillId="33" borderId="28" xfId="0" applyFill="1" applyBorder="1" applyAlignment="1">
      <alignment horizontal="center"/>
    </xf>
    <xf numFmtId="0" fontId="0" fillId="33" borderId="24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1" fontId="3" fillId="34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/>
    </xf>
    <xf numFmtId="165" fontId="0" fillId="35" borderId="20" xfId="0" applyNumberFormat="1" applyFill="1" applyBorder="1" applyAlignment="1" applyProtection="1">
      <alignment/>
      <protection/>
    </xf>
    <xf numFmtId="165" fontId="0" fillId="35" borderId="30" xfId="0" applyNumberFormat="1" applyFill="1" applyBorder="1" applyAlignment="1" applyProtection="1">
      <alignment/>
      <protection/>
    </xf>
    <xf numFmtId="165" fontId="0" fillId="35" borderId="14" xfId="0" applyNumberFormat="1" applyFill="1" applyBorder="1" applyAlignment="1" applyProtection="1">
      <alignment/>
      <protection/>
    </xf>
    <xf numFmtId="165" fontId="0" fillId="35" borderId="31" xfId="0" applyNumberFormat="1" applyFill="1" applyBorder="1" applyAlignment="1" applyProtection="1">
      <alignment/>
      <protection/>
    </xf>
    <xf numFmtId="165" fontId="0" fillId="35" borderId="15" xfId="0" applyNumberFormat="1" applyFill="1" applyBorder="1" applyAlignment="1" applyProtection="1">
      <alignment/>
      <protection/>
    </xf>
    <xf numFmtId="165" fontId="0" fillId="35" borderId="32" xfId="0" applyNumberFormat="1" applyFill="1" applyBorder="1" applyAlignment="1" applyProtection="1">
      <alignment/>
      <protection/>
    </xf>
    <xf numFmtId="165" fontId="0" fillId="35" borderId="27" xfId="0" applyNumberFormat="1" applyFill="1" applyBorder="1" applyAlignment="1" applyProtection="1">
      <alignment/>
      <protection/>
    </xf>
    <xf numFmtId="165" fontId="0" fillId="35" borderId="29" xfId="0" applyNumberFormat="1" applyFill="1" applyBorder="1" applyAlignment="1" applyProtection="1">
      <alignment/>
      <protection/>
    </xf>
    <xf numFmtId="165" fontId="0" fillId="35" borderId="33" xfId="0" applyNumberFormat="1" applyFill="1" applyBorder="1" applyAlignment="1" applyProtection="1">
      <alignment/>
      <protection/>
    </xf>
    <xf numFmtId="165" fontId="0" fillId="35" borderId="34" xfId="0" applyNumberFormat="1" applyFill="1" applyBorder="1" applyAlignment="1" applyProtection="1">
      <alignment/>
      <protection/>
    </xf>
    <xf numFmtId="165" fontId="0" fillId="35" borderId="24" xfId="0" applyNumberFormat="1" applyFill="1" applyBorder="1" applyAlignment="1" applyProtection="1">
      <alignment/>
      <protection/>
    </xf>
    <xf numFmtId="165" fontId="0" fillId="35" borderId="35" xfId="0" applyNumberFormat="1" applyFill="1" applyBorder="1" applyAlignment="1" applyProtection="1">
      <alignment/>
      <protection/>
    </xf>
    <xf numFmtId="165" fontId="0" fillId="35" borderId="26" xfId="0" applyNumberFormat="1" applyFill="1" applyBorder="1" applyAlignment="1" applyProtection="1">
      <alignment/>
      <protection/>
    </xf>
    <xf numFmtId="165" fontId="0" fillId="35" borderId="36" xfId="0" applyNumberFormat="1" applyFill="1" applyBorder="1" applyAlignment="1" applyProtection="1">
      <alignment/>
      <protection/>
    </xf>
    <xf numFmtId="165" fontId="0" fillId="35" borderId="22" xfId="0" applyNumberFormat="1" applyFill="1" applyBorder="1" applyAlignment="1" applyProtection="1">
      <alignment/>
      <protection/>
    </xf>
    <xf numFmtId="167" fontId="0" fillId="35" borderId="13" xfId="0" applyNumberFormat="1" applyFill="1" applyBorder="1" applyAlignment="1" applyProtection="1">
      <alignment/>
      <protection/>
    </xf>
    <xf numFmtId="167" fontId="0" fillId="35" borderId="14" xfId="0" applyNumberFormat="1" applyFill="1" applyBorder="1" applyAlignment="1" applyProtection="1">
      <alignment/>
      <protection/>
    </xf>
    <xf numFmtId="167" fontId="0" fillId="35" borderId="15" xfId="0" applyNumberFormat="1" applyFill="1" applyBorder="1" applyAlignment="1" applyProtection="1">
      <alignment/>
      <protection/>
    </xf>
    <xf numFmtId="165" fontId="0" fillId="35" borderId="10" xfId="0" applyNumberFormat="1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2" fontId="0" fillId="35" borderId="10" xfId="0" applyNumberForma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37" xfId="0" applyFill="1" applyBorder="1" applyAlignment="1" applyProtection="1">
      <alignment horizontal="center"/>
      <protection locked="0"/>
    </xf>
    <xf numFmtId="165" fontId="0" fillId="36" borderId="31" xfId="0" applyNumberFormat="1" applyFill="1" applyBorder="1" applyAlignment="1" applyProtection="1">
      <alignment/>
      <protection locked="0"/>
    </xf>
    <xf numFmtId="165" fontId="0" fillId="36" borderId="27" xfId="0" applyNumberFormat="1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 horizontal="center"/>
      <protection locked="0"/>
    </xf>
    <xf numFmtId="165" fontId="0" fillId="36" borderId="33" xfId="0" applyNumberFormat="1" applyFill="1" applyBorder="1" applyAlignment="1" applyProtection="1">
      <alignment/>
      <protection locked="0"/>
    </xf>
    <xf numFmtId="0" fontId="0" fillId="36" borderId="26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vertical="top"/>
      <protection/>
    </xf>
    <xf numFmtId="0" fontId="0" fillId="33" borderId="38" xfId="0" applyFill="1" applyBorder="1" applyAlignment="1" applyProtection="1">
      <alignment vertical="top"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 vertical="top"/>
      <protection/>
    </xf>
    <xf numFmtId="0" fontId="0" fillId="33" borderId="23" xfId="0" applyFill="1" applyBorder="1" applyAlignment="1" applyProtection="1">
      <alignment vertical="top"/>
      <protection/>
    </xf>
    <xf numFmtId="0" fontId="0" fillId="33" borderId="42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55">
      <selection activeCell="C70" sqref="C70"/>
    </sheetView>
  </sheetViews>
  <sheetFormatPr defaultColWidth="9.00390625" defaultRowHeight="14.25"/>
  <cols>
    <col min="1" max="1" width="17.625" style="0" customWidth="1"/>
    <col min="2" max="2" width="27.875" style="0" customWidth="1"/>
    <col min="3" max="3" width="14.125" style="0" customWidth="1"/>
    <col min="5" max="5" width="9.375" style="0" bestFit="1" customWidth="1"/>
    <col min="7" max="7" width="22.00390625" style="0" customWidth="1"/>
    <col min="8" max="8" width="0" style="0" hidden="1" customWidth="1"/>
    <col min="9" max="9" width="11.25390625" style="0" hidden="1" customWidth="1"/>
    <col min="10" max="11" width="0" style="0" hidden="1" customWidth="1"/>
  </cols>
  <sheetData>
    <row r="1" spans="1:12" ht="15" thickBot="1">
      <c r="A1" s="2" t="s">
        <v>0</v>
      </c>
      <c r="B1" s="2"/>
      <c r="C1" s="2"/>
      <c r="D1" s="87"/>
      <c r="E1" s="2" t="s">
        <v>89</v>
      </c>
      <c r="F1" s="2"/>
      <c r="G1" s="2"/>
      <c r="H1" s="2"/>
      <c r="I1" s="2"/>
      <c r="J1" s="2"/>
      <c r="K1" s="2"/>
      <c r="L1" s="2"/>
    </row>
    <row r="2" spans="1:12" ht="15" thickBot="1">
      <c r="A2" s="2" t="s">
        <v>110</v>
      </c>
      <c r="B2" s="2"/>
      <c r="C2" s="2"/>
      <c r="D2" s="57"/>
      <c r="E2" s="2" t="s">
        <v>90</v>
      </c>
      <c r="F2" s="2"/>
      <c r="G2" s="2"/>
      <c r="H2" s="2"/>
      <c r="I2" s="2"/>
      <c r="J2" s="2"/>
      <c r="K2" s="2"/>
      <c r="L2" s="2"/>
    </row>
    <row r="3" spans="1:12" ht="15" thickBot="1">
      <c r="A3" s="2"/>
      <c r="B3" s="2"/>
      <c r="C3" s="2"/>
      <c r="D3" s="56"/>
      <c r="E3" s="2" t="s">
        <v>91</v>
      </c>
      <c r="F3" s="2"/>
      <c r="G3" s="2"/>
      <c r="H3" s="2"/>
      <c r="I3" s="2"/>
      <c r="J3" s="2"/>
      <c r="K3" s="2"/>
      <c r="L3" s="2"/>
    </row>
    <row r="4" spans="1:12" ht="15.75" thickBot="1">
      <c r="A4" s="3" t="s">
        <v>85</v>
      </c>
      <c r="B4" s="17"/>
      <c r="C4" s="17"/>
      <c r="D4" s="65"/>
      <c r="E4" s="2" t="s">
        <v>92</v>
      </c>
      <c r="F4" s="2"/>
      <c r="G4" s="2"/>
      <c r="H4" s="2"/>
      <c r="I4" s="2"/>
      <c r="J4" s="2"/>
      <c r="K4" s="2"/>
      <c r="L4" s="2"/>
    </row>
    <row r="5" spans="1:12" ht="16.5" thickBot="1" thickTop="1">
      <c r="A5" s="3" t="s">
        <v>86</v>
      </c>
      <c r="B5" s="18"/>
      <c r="C5" s="18"/>
      <c r="D5" s="2"/>
      <c r="E5" s="2"/>
      <c r="F5" s="2"/>
      <c r="G5" s="2"/>
      <c r="H5" s="2"/>
      <c r="I5" s="2"/>
      <c r="J5" s="2"/>
      <c r="K5" s="2"/>
      <c r="L5" s="2"/>
    </row>
    <row r="6" spans="1:12" ht="16.5" thickBot="1" thickTop="1">
      <c r="A6" s="3" t="s">
        <v>96</v>
      </c>
      <c r="B6" s="18" t="s">
        <v>111</v>
      </c>
      <c r="C6" s="18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 thickTop="1">
      <c r="A7" s="3" t="s">
        <v>97</v>
      </c>
      <c r="B7" s="18" t="s">
        <v>112</v>
      </c>
      <c r="C7" s="18"/>
      <c r="D7" s="2"/>
      <c r="E7" s="2"/>
      <c r="F7" s="2"/>
      <c r="G7" s="2"/>
      <c r="H7" s="2"/>
      <c r="I7" s="2"/>
      <c r="J7" s="2"/>
      <c r="K7" s="2"/>
      <c r="L7" s="2"/>
    </row>
    <row r="8" spans="1:12" ht="16.5" thickBot="1" thickTop="1">
      <c r="A8" s="3" t="s">
        <v>98</v>
      </c>
      <c r="B8" s="17"/>
      <c r="C8" s="17"/>
      <c r="D8" s="2"/>
      <c r="E8" s="2"/>
      <c r="F8" s="2"/>
      <c r="G8" s="2"/>
      <c r="H8" s="2"/>
      <c r="I8" s="2"/>
      <c r="J8" s="2"/>
      <c r="K8" s="2"/>
      <c r="L8" s="2"/>
    </row>
    <row r="9" spans="1:12" ht="16.5" thickBot="1" thickTop="1">
      <c r="A9" s="3" t="s">
        <v>99</v>
      </c>
      <c r="B9" s="18"/>
      <c r="C9" s="19" t="s">
        <v>100</v>
      </c>
      <c r="D9" s="17"/>
      <c r="E9" s="17"/>
      <c r="F9" s="2"/>
      <c r="G9" s="2"/>
      <c r="H9" s="2"/>
      <c r="I9" s="2"/>
      <c r="J9" s="2"/>
      <c r="K9" s="2"/>
      <c r="L9" s="2"/>
    </row>
    <row r="10" spans="1:12" s="1" customFormat="1" ht="15" customHeight="1" thickBot="1" thickTop="1">
      <c r="A10" s="4"/>
      <c r="B10" s="5"/>
      <c r="C10" s="4"/>
      <c r="D10" s="5"/>
      <c r="E10" s="6"/>
      <c r="F10" s="5"/>
      <c r="G10" s="7"/>
      <c r="H10" s="7"/>
      <c r="I10" s="7"/>
      <c r="J10" s="7"/>
      <c r="K10" s="7"/>
      <c r="L10" s="7"/>
    </row>
    <row r="11" spans="1:12" s="1" customFormat="1" ht="29.25" thickBot="1">
      <c r="A11" s="8" t="s">
        <v>1</v>
      </c>
      <c r="B11" s="9" t="s">
        <v>82</v>
      </c>
      <c r="C11" s="8" t="s">
        <v>2</v>
      </c>
      <c r="D11" s="9" t="s">
        <v>22</v>
      </c>
      <c r="E11" s="8" t="s">
        <v>84</v>
      </c>
      <c r="F11" s="10" t="s">
        <v>83</v>
      </c>
      <c r="G11" s="7"/>
      <c r="H11" s="7"/>
      <c r="I11" s="7"/>
      <c r="J11" s="7"/>
      <c r="K11" s="7"/>
      <c r="L11" s="7"/>
    </row>
    <row r="12" spans="1:12" ht="14.25">
      <c r="A12" s="34" t="s">
        <v>3</v>
      </c>
      <c r="B12" s="35" t="s">
        <v>44</v>
      </c>
      <c r="C12" s="35"/>
      <c r="D12" s="88">
        <v>1</v>
      </c>
      <c r="E12" s="66">
        <f>D12*0.125</f>
        <v>0.125</v>
      </c>
      <c r="F12" s="67">
        <f>E12</f>
        <v>0.125</v>
      </c>
      <c r="G12" s="98"/>
      <c r="H12" s="2"/>
      <c r="I12" s="2"/>
      <c r="J12" s="2"/>
      <c r="K12" s="2"/>
      <c r="L12" s="2"/>
    </row>
    <row r="13" spans="1:12" ht="14.25">
      <c r="A13" s="103" t="s">
        <v>4</v>
      </c>
      <c r="B13" s="36" t="s">
        <v>45</v>
      </c>
      <c r="C13" s="46"/>
      <c r="D13" s="89"/>
      <c r="E13" s="68">
        <f>(D13*0.13)</f>
        <v>0</v>
      </c>
      <c r="F13" s="69">
        <f>E13</f>
        <v>0</v>
      </c>
      <c r="G13" s="2"/>
      <c r="H13" s="2"/>
      <c r="I13" s="2"/>
      <c r="J13" s="2"/>
      <c r="K13" s="2"/>
      <c r="L13" s="2"/>
    </row>
    <row r="14" spans="1:12" ht="15" thickBot="1">
      <c r="A14" s="104"/>
      <c r="B14" s="37" t="s">
        <v>46</v>
      </c>
      <c r="C14" s="47" t="s">
        <v>39</v>
      </c>
      <c r="D14" s="90"/>
      <c r="E14" s="70">
        <f>IF(D13=1,D14*0.0027,"")</f>
      </c>
      <c r="F14" s="71">
        <f>E14</f>
      </c>
      <c r="G14" s="14">
        <f>IF(D13=1,"",(IF(D14&gt;0,"Invalid","")))</f>
      </c>
      <c r="H14" s="2"/>
      <c r="I14" s="2"/>
      <c r="J14" s="2"/>
      <c r="K14" s="2"/>
      <c r="L14" s="2"/>
    </row>
    <row r="15" spans="1:12" ht="14.25">
      <c r="A15" s="101" t="s">
        <v>5</v>
      </c>
      <c r="B15" s="38" t="s">
        <v>47</v>
      </c>
      <c r="C15" s="35"/>
      <c r="D15" s="91">
        <v>1</v>
      </c>
      <c r="E15" s="66">
        <f>D15*0.105+D17*0.005</f>
        <v>0.11</v>
      </c>
      <c r="F15" s="67">
        <f>E15</f>
        <v>0.11</v>
      </c>
      <c r="G15" s="2"/>
      <c r="H15" s="2"/>
      <c r="I15" s="2"/>
      <c r="J15" s="2"/>
      <c r="K15" s="2"/>
      <c r="L15" s="2"/>
    </row>
    <row r="16" spans="1:12" ht="16.5" customHeight="1" thickBot="1">
      <c r="A16" s="102"/>
      <c r="B16" s="39"/>
      <c r="C16" s="48" t="s">
        <v>40</v>
      </c>
      <c r="D16" s="50"/>
      <c r="E16" s="68">
        <f>IF(D15=1,D59,"")</f>
        <v>0.09563999999999998</v>
      </c>
      <c r="F16" s="71">
        <f>IF(D15=1,E16,"")</f>
        <v>0.09563999999999998</v>
      </c>
      <c r="G16" s="2">
        <f>IF(C59&gt;252,IF(D15=1,"Invalid",""),"")</f>
      </c>
      <c r="H16" s="2" t="s">
        <v>41</v>
      </c>
      <c r="I16" s="2" t="s">
        <v>42</v>
      </c>
      <c r="J16" s="2"/>
      <c r="K16" s="2"/>
      <c r="L16" s="2"/>
    </row>
    <row r="17" spans="1:12" ht="14.25">
      <c r="A17" s="102"/>
      <c r="B17" s="39"/>
      <c r="C17" s="46" t="s">
        <v>74</v>
      </c>
      <c r="D17" s="91">
        <v>1</v>
      </c>
      <c r="E17" s="51"/>
      <c r="F17" s="92">
        <v>8</v>
      </c>
      <c r="G17" s="14">
        <f>IF(D15=1,"",(IF(F17&gt;0,"Invalid","")))</f>
      </c>
      <c r="H17" s="2"/>
      <c r="I17" s="2"/>
      <c r="J17" s="2"/>
      <c r="K17" s="2"/>
      <c r="L17" s="2"/>
    </row>
    <row r="18" spans="1:12" ht="14.25">
      <c r="A18" s="102"/>
      <c r="B18" s="39"/>
      <c r="C18" s="46" t="s">
        <v>75</v>
      </c>
      <c r="D18" s="50"/>
      <c r="E18" s="93"/>
      <c r="F18" s="92"/>
      <c r="G18" s="14">
        <f>IF(D15=1,"",(IF(E18+F18&gt;0,"Invalid","")))</f>
      </c>
      <c r="H18" s="2"/>
      <c r="I18" s="2"/>
      <c r="J18" s="2"/>
      <c r="K18" s="2"/>
      <c r="L18" s="2"/>
    </row>
    <row r="19" spans="1:12" ht="14.25">
      <c r="A19" s="102"/>
      <c r="B19" s="39"/>
      <c r="C19" s="46" t="s">
        <v>6</v>
      </c>
      <c r="D19" s="58" t="s">
        <v>42</v>
      </c>
      <c r="E19" s="72">
        <f>IF(D19="Yes",0.004*D15,0)</f>
        <v>0</v>
      </c>
      <c r="F19" s="69">
        <f>E19</f>
        <v>0</v>
      </c>
      <c r="G19" s="14">
        <f>IF(D15=1,"",(IF(D19="Yes","Invalid","")))</f>
      </c>
      <c r="H19" s="2"/>
      <c r="I19" s="2"/>
      <c r="J19" s="2"/>
      <c r="K19" s="2"/>
      <c r="L19" s="2"/>
    </row>
    <row r="20" spans="1:12" ht="14.25">
      <c r="A20" s="102" t="s">
        <v>7</v>
      </c>
      <c r="B20" s="39" t="s">
        <v>48</v>
      </c>
      <c r="C20" s="46"/>
      <c r="D20" s="89"/>
      <c r="E20" s="72">
        <f>D20*0.12+D22*0.005</f>
        <v>0</v>
      </c>
      <c r="F20" s="69">
        <f>E20</f>
        <v>0</v>
      </c>
      <c r="G20" s="14">
        <f>IF(D15=0,"",(IF(D20=D15,"Invalid","")))</f>
      </c>
      <c r="H20" s="2"/>
      <c r="I20" s="2"/>
      <c r="J20" s="2"/>
      <c r="K20" s="2"/>
      <c r="L20" s="2"/>
    </row>
    <row r="21" spans="1:12" ht="16.5" customHeight="1" thickBot="1">
      <c r="A21" s="102"/>
      <c r="B21" s="39"/>
      <c r="C21" s="48" t="s">
        <v>40</v>
      </c>
      <c r="D21" s="50"/>
      <c r="E21" s="72">
        <f>IF(D20=1,D59,"")</f>
      </c>
      <c r="F21" s="69">
        <f>E21</f>
      </c>
      <c r="G21" s="15"/>
      <c r="H21" s="2"/>
      <c r="I21" s="2"/>
      <c r="J21" s="2"/>
      <c r="K21" s="2"/>
      <c r="L21" s="2"/>
    </row>
    <row r="22" spans="1:12" ht="14.25">
      <c r="A22" s="102"/>
      <c r="B22" s="39"/>
      <c r="C22" s="46" t="s">
        <v>74</v>
      </c>
      <c r="D22" s="91"/>
      <c r="E22" s="51"/>
      <c r="F22" s="92"/>
      <c r="G22" s="14">
        <f>IF(D20=1,"",(IF(F22&gt;0,"Invalid","")))</f>
      </c>
      <c r="H22" s="2"/>
      <c r="I22" s="2"/>
      <c r="J22" s="2"/>
      <c r="K22" s="2"/>
      <c r="L22" s="2"/>
    </row>
    <row r="23" spans="1:12" ht="14.25">
      <c r="A23" s="102"/>
      <c r="B23" s="39"/>
      <c r="C23" s="46" t="s">
        <v>75</v>
      </c>
      <c r="D23" s="50"/>
      <c r="E23" s="93">
        <v>0</v>
      </c>
      <c r="F23" s="92">
        <v>0</v>
      </c>
      <c r="G23" s="14">
        <f>IF(D20=1,"",(IF(E23+F23&gt;0,"Invalid","")))</f>
      </c>
      <c r="H23" s="2"/>
      <c r="I23" s="2"/>
      <c r="J23" s="2"/>
      <c r="K23" s="2"/>
      <c r="L23" s="2"/>
    </row>
    <row r="24" spans="1:12" ht="15" thickBot="1">
      <c r="A24" s="107"/>
      <c r="B24" s="40"/>
      <c r="C24" s="41" t="s">
        <v>6</v>
      </c>
      <c r="D24" s="59" t="s">
        <v>42</v>
      </c>
      <c r="E24" s="73">
        <f>IF(D24="Yes",0.004*D20,0)</f>
        <v>0</v>
      </c>
      <c r="F24" s="74">
        <f>E24</f>
        <v>0</v>
      </c>
      <c r="G24" s="14">
        <f>IF(D20=1,"",(IF(D24="Yes","Invalid","")))</f>
      </c>
      <c r="H24" s="2"/>
      <c r="I24" s="2"/>
      <c r="J24" s="2"/>
      <c r="K24" s="2"/>
      <c r="L24" s="2"/>
    </row>
    <row r="25" spans="1:12" ht="15" thickBot="1">
      <c r="A25" s="105" t="s">
        <v>8</v>
      </c>
      <c r="B25" s="35" t="s">
        <v>49</v>
      </c>
      <c r="C25" s="60" t="s">
        <v>113</v>
      </c>
      <c r="D25" s="52">
        <f>IF(C25="Yes",1,0)</f>
        <v>1</v>
      </c>
      <c r="E25" s="75">
        <f>(D25*0.015)+(D26*0.005)</f>
        <v>0.015</v>
      </c>
      <c r="F25" s="67">
        <f>E25</f>
        <v>0.015</v>
      </c>
      <c r="G25" s="15"/>
      <c r="H25" s="2"/>
      <c r="I25" s="2"/>
      <c r="J25" s="2"/>
      <c r="K25" s="2"/>
      <c r="L25" s="2"/>
    </row>
    <row r="26" spans="1:12" ht="15" thickBot="1">
      <c r="A26" s="106"/>
      <c r="B26" s="41"/>
      <c r="C26" s="41" t="s">
        <v>74</v>
      </c>
      <c r="D26" s="94"/>
      <c r="E26" s="53"/>
      <c r="F26" s="95"/>
      <c r="G26" s="15">
        <f>IF(D25&lt;1,IF(D26+F26&gt;0,"Invalid",""),"")</f>
      </c>
      <c r="H26" s="2"/>
      <c r="I26" s="2"/>
      <c r="J26" s="2"/>
      <c r="K26" s="2"/>
      <c r="L26" s="2"/>
    </row>
    <row r="27" spans="1:12" ht="15" thickBot="1">
      <c r="A27" s="105" t="s">
        <v>93</v>
      </c>
      <c r="B27" s="35" t="s">
        <v>50</v>
      </c>
      <c r="C27" s="60" t="s">
        <v>42</v>
      </c>
      <c r="D27" s="54">
        <f>IF(C27="Yes",1,0)</f>
        <v>0</v>
      </c>
      <c r="E27" s="75">
        <f>(D27*0.011)+(D28*0.001)</f>
        <v>0</v>
      </c>
      <c r="F27" s="67">
        <f>E27</f>
        <v>0</v>
      </c>
      <c r="G27" s="14">
        <f>IF(D25=0,"",(IF(D27=D25,"Invalid","")))</f>
      </c>
      <c r="H27" s="2"/>
      <c r="I27" s="2"/>
      <c r="J27" s="2"/>
      <c r="K27" s="2"/>
      <c r="L27" s="2"/>
    </row>
    <row r="28" spans="1:12" ht="15" thickBot="1">
      <c r="A28" s="106"/>
      <c r="B28" s="41"/>
      <c r="C28" s="41" t="s">
        <v>76</v>
      </c>
      <c r="D28" s="94"/>
      <c r="E28" s="53"/>
      <c r="F28" s="95"/>
      <c r="G28" s="15">
        <f>IF(D27&lt;1,IF(D28+F28&gt;0,"Invalid",""),"")</f>
      </c>
      <c r="H28" s="2"/>
      <c r="I28" s="2"/>
      <c r="J28" s="2"/>
      <c r="K28" s="2"/>
      <c r="L28" s="2"/>
    </row>
    <row r="29" spans="1:12" ht="15" thickBot="1">
      <c r="A29" s="42" t="s">
        <v>9</v>
      </c>
      <c r="B29" s="43" t="s">
        <v>51</v>
      </c>
      <c r="C29" s="61" t="s">
        <v>81</v>
      </c>
      <c r="D29" s="55"/>
      <c r="E29" s="76">
        <f>IF(C29="Leased Line",0.027,IF(C29="City Tie",0.002,0))</f>
        <v>0</v>
      </c>
      <c r="F29" s="77">
        <f>IF(C29="Leased Line",0.04,IF(C29="City Tie",0.35,0))</f>
        <v>0</v>
      </c>
      <c r="G29" s="2"/>
      <c r="H29" s="2" t="s">
        <v>81</v>
      </c>
      <c r="I29" s="2" t="s">
        <v>10</v>
      </c>
      <c r="J29" s="2" t="s">
        <v>11</v>
      </c>
      <c r="K29" s="2"/>
      <c r="L29" s="2"/>
    </row>
    <row r="30" spans="1:12" ht="15" thickBot="1">
      <c r="A30" s="44" t="s">
        <v>12</v>
      </c>
      <c r="B30" s="45" t="s">
        <v>52</v>
      </c>
      <c r="C30" s="45">
        <f>IF((D12+D13)&gt;1,IF(D30&lt;(D12+D13),"Add Modules",""),"")</f>
      </c>
      <c r="D30" s="96"/>
      <c r="E30" s="78">
        <f>D30*0.035</f>
        <v>0</v>
      </c>
      <c r="F30" s="79">
        <f aca="true" t="shared" si="0" ref="F30:F40">E30</f>
        <v>0</v>
      </c>
      <c r="G30" s="2"/>
      <c r="H30" s="2"/>
      <c r="I30" s="2"/>
      <c r="J30" s="2"/>
      <c r="K30" s="2"/>
      <c r="L30" s="2"/>
    </row>
    <row r="31" spans="1:12" ht="15" thickBot="1">
      <c r="A31" s="44" t="s">
        <v>13</v>
      </c>
      <c r="B31" s="45" t="s">
        <v>59</v>
      </c>
      <c r="C31" s="49">
        <f>IF((D34+D35+D40)=0,"",IF(((D34+D35+D40)/8.1)&lt;D31,"","Invalid"))</f>
      </c>
      <c r="D31" s="96">
        <v>1</v>
      </c>
      <c r="E31" s="78">
        <f>D31*0.055</f>
        <v>0.055</v>
      </c>
      <c r="F31" s="79">
        <f t="shared" si="0"/>
        <v>0.055</v>
      </c>
      <c r="G31" s="2"/>
      <c r="H31" s="2"/>
      <c r="I31" s="2"/>
      <c r="J31" s="2"/>
      <c r="K31" s="2"/>
      <c r="L31" s="2"/>
    </row>
    <row r="32" spans="1:12" ht="15" thickBot="1">
      <c r="A32" s="44" t="s">
        <v>14</v>
      </c>
      <c r="B32" s="45" t="s">
        <v>53</v>
      </c>
      <c r="C32" s="45"/>
      <c r="D32" s="96"/>
      <c r="E32" s="78">
        <f>D32*0.132</f>
        <v>0</v>
      </c>
      <c r="F32" s="79">
        <f t="shared" si="0"/>
        <v>0</v>
      </c>
      <c r="G32" s="2"/>
      <c r="H32" s="2"/>
      <c r="I32" s="2"/>
      <c r="J32" s="2"/>
      <c r="K32" s="2"/>
      <c r="L32" s="2"/>
    </row>
    <row r="33" spans="1:12" ht="15" thickBot="1">
      <c r="A33" s="44" t="s">
        <v>15</v>
      </c>
      <c r="B33" s="45" t="s">
        <v>54</v>
      </c>
      <c r="C33" s="45"/>
      <c r="D33" s="96"/>
      <c r="E33" s="78">
        <f>D33*0.132</f>
        <v>0</v>
      </c>
      <c r="F33" s="79">
        <f t="shared" si="0"/>
        <v>0</v>
      </c>
      <c r="G33" s="2"/>
      <c r="H33" s="2"/>
      <c r="I33" s="2"/>
      <c r="J33" s="2"/>
      <c r="K33" s="2"/>
      <c r="L33" s="2"/>
    </row>
    <row r="34" spans="1:12" ht="15" thickBot="1">
      <c r="A34" s="44" t="s">
        <v>16</v>
      </c>
      <c r="B34" s="45" t="s">
        <v>55</v>
      </c>
      <c r="C34" s="49">
        <f>IF(D31&lt;1,IF(D34&gt;0,"Invalid",""),"")</f>
      </c>
      <c r="D34" s="96"/>
      <c r="E34" s="78">
        <f>D34*0.034</f>
        <v>0</v>
      </c>
      <c r="F34" s="79">
        <f t="shared" si="0"/>
        <v>0</v>
      </c>
      <c r="G34" s="2"/>
      <c r="H34" s="2"/>
      <c r="I34" s="2"/>
      <c r="J34" s="2"/>
      <c r="K34" s="2"/>
      <c r="L34" s="2"/>
    </row>
    <row r="35" spans="1:12" ht="15" thickBot="1">
      <c r="A35" s="44" t="s">
        <v>17</v>
      </c>
      <c r="B35" s="45" t="s">
        <v>56</v>
      </c>
      <c r="C35" s="49">
        <f>IF(D31&lt;1,IF(D35&gt;0,"Invalid",""),"")</f>
      </c>
      <c r="D35" s="96">
        <v>1</v>
      </c>
      <c r="E35" s="78">
        <f>D35*0.034</f>
        <v>0.034</v>
      </c>
      <c r="F35" s="79">
        <f t="shared" si="0"/>
        <v>0.034</v>
      </c>
      <c r="G35" s="2"/>
      <c r="H35" s="2"/>
      <c r="I35" s="2"/>
      <c r="J35" s="2"/>
      <c r="K35" s="2"/>
      <c r="L35" s="2"/>
    </row>
    <row r="36" spans="1:12" ht="15" thickBot="1">
      <c r="A36" s="44" t="s">
        <v>18</v>
      </c>
      <c r="B36" s="45" t="s">
        <v>57</v>
      </c>
      <c r="C36" s="45">
        <f>IF((D12+D13)&gt;1,IF(D36&lt;(D12+D13-1),"Add Modules",""),"")</f>
      </c>
      <c r="D36" s="96"/>
      <c r="E36" s="78">
        <f>D36*0.01</f>
        <v>0</v>
      </c>
      <c r="F36" s="79">
        <f t="shared" si="0"/>
        <v>0</v>
      </c>
      <c r="G36" s="2"/>
      <c r="H36" s="2"/>
      <c r="I36" s="2"/>
      <c r="J36" s="2"/>
      <c r="K36" s="2"/>
      <c r="L36" s="2"/>
    </row>
    <row r="37" spans="1:12" ht="14.25">
      <c r="A37" s="105" t="s">
        <v>94</v>
      </c>
      <c r="B37" s="35" t="s">
        <v>58</v>
      </c>
      <c r="C37" s="24">
        <f>IF(D38&lt;1,"",(IF(D37&lt;1,"Add Modules",IF((D38/D37)&gt;24,"Invalid",""))))</f>
      </c>
      <c r="D37" s="88"/>
      <c r="E37" s="66">
        <f>D37*0.005</f>
        <v>0</v>
      </c>
      <c r="F37" s="67">
        <f t="shared" si="0"/>
        <v>0</v>
      </c>
      <c r="G37" s="2"/>
      <c r="H37" s="2"/>
      <c r="I37" s="2"/>
      <c r="J37" s="2"/>
      <c r="K37" s="2"/>
      <c r="L37" s="2"/>
    </row>
    <row r="38" spans="1:12" ht="15" thickBot="1">
      <c r="A38" s="106"/>
      <c r="B38" s="41"/>
      <c r="C38" s="41" t="s">
        <v>39</v>
      </c>
      <c r="D38" s="94"/>
      <c r="E38" s="80">
        <f>D38*0.0027</f>
        <v>0</v>
      </c>
      <c r="F38" s="74">
        <f t="shared" si="0"/>
        <v>0</v>
      </c>
      <c r="G38" s="2"/>
      <c r="H38" s="2"/>
      <c r="I38" s="2"/>
      <c r="J38" s="2"/>
      <c r="K38" s="2"/>
      <c r="L38" s="2"/>
    </row>
    <row r="39" spans="1:12" ht="15" thickBot="1">
      <c r="A39" s="44" t="s">
        <v>19</v>
      </c>
      <c r="B39" s="45" t="s">
        <v>43</v>
      </c>
      <c r="C39" s="45"/>
      <c r="D39" s="96">
        <v>1</v>
      </c>
      <c r="E39" s="78">
        <f>D39*0.025</f>
        <v>0.025</v>
      </c>
      <c r="F39" s="79">
        <f t="shared" si="0"/>
        <v>0.025</v>
      </c>
      <c r="G39" s="2"/>
      <c r="H39" s="2"/>
      <c r="I39" s="2"/>
      <c r="J39" s="2"/>
      <c r="K39" s="2"/>
      <c r="L39" s="2"/>
    </row>
    <row r="40" spans="1:12" ht="15" thickBot="1">
      <c r="A40" s="44" t="s">
        <v>20</v>
      </c>
      <c r="B40" s="45" t="s">
        <v>60</v>
      </c>
      <c r="C40" s="49"/>
      <c r="D40" s="96"/>
      <c r="E40" s="78">
        <f>D40*0.125</f>
        <v>0</v>
      </c>
      <c r="F40" s="79">
        <f t="shared" si="0"/>
        <v>0</v>
      </c>
      <c r="G40" s="2"/>
      <c r="H40" s="2"/>
      <c r="I40" s="2"/>
      <c r="J40" s="2"/>
      <c r="K40" s="2"/>
      <c r="L40" s="2"/>
    </row>
    <row r="41" spans="1:12" ht="1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 thickBot="1">
      <c r="A42" s="11" t="s">
        <v>21</v>
      </c>
      <c r="B42" s="11" t="s">
        <v>82</v>
      </c>
      <c r="C42" s="11" t="s">
        <v>22</v>
      </c>
      <c r="D42" s="11" t="s">
        <v>101</v>
      </c>
      <c r="E42" s="24"/>
      <c r="F42" s="24"/>
      <c r="G42" s="2"/>
      <c r="H42" s="2"/>
      <c r="I42" s="2"/>
      <c r="J42" s="2"/>
      <c r="K42" s="2"/>
      <c r="L42" s="2"/>
    </row>
    <row r="43" spans="1:12" ht="14.25">
      <c r="A43" s="20" t="s">
        <v>30</v>
      </c>
      <c r="B43" s="20" t="s">
        <v>61</v>
      </c>
      <c r="C43" s="97"/>
      <c r="D43" s="81">
        <f>C43*0.0014</f>
        <v>0</v>
      </c>
      <c r="E43" s="24" t="s">
        <v>102</v>
      </c>
      <c r="F43" s="24"/>
      <c r="G43" s="2"/>
      <c r="H43" s="2"/>
      <c r="I43" s="2"/>
      <c r="J43" s="2"/>
      <c r="K43" s="2"/>
      <c r="L43" s="2"/>
    </row>
    <row r="44" spans="1:12" ht="14.25">
      <c r="A44" s="21" t="s">
        <v>31</v>
      </c>
      <c r="B44" s="21" t="s">
        <v>62</v>
      </c>
      <c r="C44" s="89"/>
      <c r="D44" s="82">
        <f>C44*0.0014</f>
        <v>0</v>
      </c>
      <c r="E44" s="24" t="s">
        <v>102</v>
      </c>
      <c r="F44" s="24"/>
      <c r="G44" s="2"/>
      <c r="H44" s="2"/>
      <c r="I44" s="2"/>
      <c r="J44" s="2"/>
      <c r="K44" s="2"/>
      <c r="L44" s="2"/>
    </row>
    <row r="45" spans="1:12" ht="14.25">
      <c r="A45" s="21" t="s">
        <v>32</v>
      </c>
      <c r="B45" s="21" t="s">
        <v>63</v>
      </c>
      <c r="C45" s="89"/>
      <c r="D45" s="82">
        <f>C45*0.0014</f>
        <v>0</v>
      </c>
      <c r="E45" s="24" t="s">
        <v>102</v>
      </c>
      <c r="F45" s="24"/>
      <c r="G45" s="2"/>
      <c r="H45" s="2"/>
      <c r="I45" s="2"/>
      <c r="J45" s="2"/>
      <c r="K45" s="2"/>
      <c r="L45" s="2"/>
    </row>
    <row r="46" spans="1:12" ht="14.25">
      <c r="A46" s="21" t="s">
        <v>23</v>
      </c>
      <c r="B46" s="21" t="s">
        <v>64</v>
      </c>
      <c r="C46" s="89"/>
      <c r="D46" s="82">
        <f>C46*0.00075</f>
        <v>0</v>
      </c>
      <c r="E46" s="24" t="s">
        <v>103</v>
      </c>
      <c r="F46" s="24"/>
      <c r="G46" s="2"/>
      <c r="H46" s="2"/>
      <c r="I46" s="2"/>
      <c r="J46" s="2"/>
      <c r="K46" s="2"/>
      <c r="L46" s="2"/>
    </row>
    <row r="47" spans="1:12" ht="14.25">
      <c r="A47" s="21" t="s">
        <v>24</v>
      </c>
      <c r="B47" s="21" t="s">
        <v>65</v>
      </c>
      <c r="C47" s="89">
        <v>6</v>
      </c>
      <c r="D47" s="82">
        <f>C47*0.00068</f>
        <v>0.00408</v>
      </c>
      <c r="E47" s="24" t="s">
        <v>104</v>
      </c>
      <c r="F47" s="24"/>
      <c r="G47" s="2"/>
      <c r="H47" s="2"/>
      <c r="I47" s="2"/>
      <c r="J47" s="2"/>
      <c r="K47" s="2"/>
      <c r="L47" s="2"/>
    </row>
    <row r="48" spans="1:12" ht="14.25">
      <c r="A48" s="21" t="s">
        <v>25</v>
      </c>
      <c r="B48" s="20" t="s">
        <v>61</v>
      </c>
      <c r="C48" s="89">
        <v>65</v>
      </c>
      <c r="D48" s="82">
        <f>C48*0.00028</f>
        <v>0.018199999999999997</v>
      </c>
      <c r="E48" s="24" t="s">
        <v>105</v>
      </c>
      <c r="F48" s="24"/>
      <c r="G48" s="2"/>
      <c r="H48" s="2"/>
      <c r="I48" s="2"/>
      <c r="J48" s="2"/>
      <c r="K48" s="2"/>
      <c r="L48" s="2"/>
    </row>
    <row r="49" spans="1:12" ht="14.25">
      <c r="A49" s="21" t="s">
        <v>26</v>
      </c>
      <c r="B49" s="21" t="s">
        <v>62</v>
      </c>
      <c r="C49" s="89">
        <v>65</v>
      </c>
      <c r="D49" s="82">
        <f>C49*0.00028</f>
        <v>0.018199999999999997</v>
      </c>
      <c r="E49" s="24" t="s">
        <v>105</v>
      </c>
      <c r="F49" s="24"/>
      <c r="G49" s="2"/>
      <c r="H49" s="2"/>
      <c r="I49" s="2"/>
      <c r="J49" s="2"/>
      <c r="K49" s="2"/>
      <c r="L49" s="2"/>
    </row>
    <row r="50" spans="1:12" ht="14.25">
      <c r="A50" s="21" t="s">
        <v>27</v>
      </c>
      <c r="B50" s="21" t="s">
        <v>63</v>
      </c>
      <c r="C50" s="89">
        <v>17</v>
      </c>
      <c r="D50" s="82">
        <f>C50*0.00028</f>
        <v>0.0047599999999999995</v>
      </c>
      <c r="E50" s="24" t="s">
        <v>105</v>
      </c>
      <c r="F50" s="24"/>
      <c r="G50" s="2"/>
      <c r="H50" s="2"/>
      <c r="I50" s="2"/>
      <c r="J50" s="2"/>
      <c r="K50" s="2"/>
      <c r="L50" s="2"/>
    </row>
    <row r="51" spans="1:12" ht="14.25">
      <c r="A51" s="21" t="s">
        <v>29</v>
      </c>
      <c r="B51" s="21" t="s">
        <v>66</v>
      </c>
      <c r="C51" s="89">
        <v>7</v>
      </c>
      <c r="D51" s="82">
        <f>C51*0.001</f>
        <v>0.007</v>
      </c>
      <c r="E51" s="24" t="s">
        <v>106</v>
      </c>
      <c r="F51" s="24"/>
      <c r="G51" s="2"/>
      <c r="H51" s="2"/>
      <c r="I51" s="2"/>
      <c r="J51" s="2"/>
      <c r="K51" s="2"/>
      <c r="L51" s="2"/>
    </row>
    <row r="52" spans="1:12" ht="14.25">
      <c r="A52" s="21" t="s">
        <v>95</v>
      </c>
      <c r="B52" s="21" t="s">
        <v>67</v>
      </c>
      <c r="C52" s="89"/>
      <c r="D52" s="82">
        <f aca="true" t="shared" si="1" ref="D52:D58">C52*0.0014</f>
        <v>0</v>
      </c>
      <c r="E52" s="24" t="s">
        <v>102</v>
      </c>
      <c r="F52" s="24"/>
      <c r="G52" s="2"/>
      <c r="H52" s="2"/>
      <c r="I52" s="2"/>
      <c r="J52" s="2"/>
      <c r="K52" s="2"/>
      <c r="L52" s="2"/>
    </row>
    <row r="53" spans="1:12" ht="14.25">
      <c r="A53" s="21" t="s">
        <v>33</v>
      </c>
      <c r="B53" s="21" t="s">
        <v>68</v>
      </c>
      <c r="C53" s="89">
        <v>25</v>
      </c>
      <c r="D53" s="82">
        <f t="shared" si="1"/>
        <v>0.034999999999999996</v>
      </c>
      <c r="E53" s="24" t="s">
        <v>102</v>
      </c>
      <c r="F53" s="24"/>
      <c r="G53" s="2"/>
      <c r="H53" s="2"/>
      <c r="I53" s="2"/>
      <c r="J53" s="2"/>
      <c r="K53" s="2"/>
      <c r="L53" s="2"/>
    </row>
    <row r="54" spans="1:12" ht="14.25">
      <c r="A54" s="21" t="s">
        <v>34</v>
      </c>
      <c r="B54" s="21" t="s">
        <v>69</v>
      </c>
      <c r="C54" s="89">
        <v>3</v>
      </c>
      <c r="D54" s="82">
        <f t="shared" si="1"/>
        <v>0.0042</v>
      </c>
      <c r="E54" s="24" t="s">
        <v>102</v>
      </c>
      <c r="F54" s="24"/>
      <c r="G54" s="2"/>
      <c r="H54" s="2"/>
      <c r="I54" s="2"/>
      <c r="J54" s="2"/>
      <c r="K54" s="2"/>
      <c r="L54" s="2"/>
    </row>
    <row r="55" spans="1:12" ht="14.25">
      <c r="A55" s="21" t="s">
        <v>35</v>
      </c>
      <c r="B55" s="21" t="s">
        <v>70</v>
      </c>
      <c r="C55" s="89"/>
      <c r="D55" s="82">
        <f t="shared" si="1"/>
        <v>0</v>
      </c>
      <c r="E55" s="24" t="s">
        <v>102</v>
      </c>
      <c r="F55" s="24"/>
      <c r="G55" s="2"/>
      <c r="H55" s="2"/>
      <c r="I55" s="2"/>
      <c r="J55" s="2"/>
      <c r="K55" s="2"/>
      <c r="L55" s="2"/>
    </row>
    <row r="56" spans="1:12" ht="14.25">
      <c r="A56" s="21" t="s">
        <v>36</v>
      </c>
      <c r="B56" s="21" t="s">
        <v>71</v>
      </c>
      <c r="C56" s="89"/>
      <c r="D56" s="82">
        <f t="shared" si="1"/>
        <v>0</v>
      </c>
      <c r="E56" s="24" t="s">
        <v>102</v>
      </c>
      <c r="F56" s="24"/>
      <c r="G56" s="2"/>
      <c r="H56" s="2"/>
      <c r="I56" s="2"/>
      <c r="J56" s="2"/>
      <c r="K56" s="2"/>
      <c r="L56" s="2"/>
    </row>
    <row r="57" spans="1:12" ht="14.25">
      <c r="A57" s="21" t="s">
        <v>37</v>
      </c>
      <c r="B57" s="21" t="s">
        <v>72</v>
      </c>
      <c r="C57" s="89">
        <v>3</v>
      </c>
      <c r="D57" s="82">
        <f t="shared" si="1"/>
        <v>0.0042</v>
      </c>
      <c r="E57" s="24" t="s">
        <v>102</v>
      </c>
      <c r="F57" s="24"/>
      <c r="G57" s="2"/>
      <c r="H57" s="2"/>
      <c r="I57" s="2"/>
      <c r="J57" s="2"/>
      <c r="K57" s="2"/>
      <c r="L57" s="2"/>
    </row>
    <row r="58" spans="1:12" ht="15" thickBot="1">
      <c r="A58" s="22" t="s">
        <v>38</v>
      </c>
      <c r="B58" s="22" t="s">
        <v>73</v>
      </c>
      <c r="C58" s="90"/>
      <c r="D58" s="83">
        <f t="shared" si="1"/>
        <v>0</v>
      </c>
      <c r="E58" s="24" t="s">
        <v>102</v>
      </c>
      <c r="F58" s="24"/>
      <c r="G58" s="2"/>
      <c r="H58" s="2"/>
      <c r="I58" s="2"/>
      <c r="J58" s="2"/>
      <c r="K58" s="2"/>
      <c r="L58" s="2"/>
    </row>
    <row r="59" spans="1:12" ht="15.75" thickBot="1">
      <c r="A59" s="23" t="s">
        <v>28</v>
      </c>
      <c r="B59" s="23"/>
      <c r="C59" s="85">
        <f>SUM(C43:C58)</f>
        <v>191</v>
      </c>
      <c r="D59" s="84">
        <f>SUM(D43:D58)</f>
        <v>0.09563999999999998</v>
      </c>
      <c r="E59" s="33" t="s">
        <v>107</v>
      </c>
      <c r="F59" s="24"/>
      <c r="G59" s="16" t="str">
        <f>IF(C59&gt;504,"Too many devices","System OK")</f>
        <v>System OK</v>
      </c>
      <c r="H59" s="2"/>
      <c r="I59" s="2"/>
      <c r="J59" s="2"/>
      <c r="K59" s="2"/>
      <c r="L59" s="2"/>
    </row>
    <row r="60" spans="1:12" ht="15" thickBot="1">
      <c r="A60" s="24"/>
      <c r="B60" s="24"/>
      <c r="C60" s="24"/>
      <c r="D60" s="24"/>
      <c r="E60" s="24"/>
      <c r="F60" s="24"/>
      <c r="G60" s="2"/>
      <c r="H60" s="2"/>
      <c r="I60" s="2"/>
      <c r="J60" s="2"/>
      <c r="K60" s="2"/>
      <c r="L60" s="2"/>
    </row>
    <row r="61" spans="1:12" ht="15.75" thickBot="1">
      <c r="A61" s="25" t="s">
        <v>77</v>
      </c>
      <c r="B61" s="26"/>
      <c r="C61" s="27"/>
      <c r="D61" s="27"/>
      <c r="E61" s="84">
        <f>SUM(E12:E40)</f>
        <v>0.45963999999999994</v>
      </c>
      <c r="F61" s="84">
        <f>SUM(F12:F40)</f>
        <v>8.459640000000002</v>
      </c>
      <c r="G61" s="13" t="str">
        <f>IF(F61&lt;6,"Use 170W power supply","Use 300W power supply")</f>
        <v>Use 300W power supply</v>
      </c>
      <c r="H61" s="2"/>
      <c r="I61" s="2"/>
      <c r="J61" s="2"/>
      <c r="K61" s="2"/>
      <c r="L61" s="2"/>
    </row>
    <row r="62" spans="1:12" ht="15" thickBot="1">
      <c r="A62" s="26"/>
      <c r="B62" s="26"/>
      <c r="C62" s="26"/>
      <c r="D62" s="26"/>
      <c r="E62" s="24"/>
      <c r="F62" s="24"/>
      <c r="G62" s="2"/>
      <c r="H62" s="2"/>
      <c r="I62" s="2"/>
      <c r="J62" s="2"/>
      <c r="K62" s="2"/>
      <c r="L62" s="2"/>
    </row>
    <row r="63" spans="1:12" ht="15" thickBot="1">
      <c r="A63" s="25" t="s">
        <v>87</v>
      </c>
      <c r="B63" s="27"/>
      <c r="C63" s="32"/>
      <c r="D63" s="62">
        <v>24</v>
      </c>
      <c r="E63" s="86">
        <f>E61*D63</f>
        <v>11.03136</v>
      </c>
      <c r="F63" s="24"/>
      <c r="G63" s="2"/>
      <c r="H63" s="2">
        <v>4</v>
      </c>
      <c r="I63" s="2">
        <v>24</v>
      </c>
      <c r="J63" s="2">
        <v>60</v>
      </c>
      <c r="K63" s="2">
        <v>96</v>
      </c>
      <c r="L63" s="2"/>
    </row>
    <row r="64" spans="1:12" ht="15" thickBot="1">
      <c r="A64" s="26"/>
      <c r="B64" s="27"/>
      <c r="C64" s="27"/>
      <c r="D64" s="27"/>
      <c r="E64" s="24"/>
      <c r="F64" s="24"/>
      <c r="G64" s="2"/>
      <c r="H64" s="2"/>
      <c r="I64" s="2"/>
      <c r="J64" s="2"/>
      <c r="K64" s="2"/>
      <c r="L64" s="2"/>
    </row>
    <row r="65" spans="1:12" ht="15" thickBot="1">
      <c r="A65" s="28" t="s">
        <v>88</v>
      </c>
      <c r="B65" s="27"/>
      <c r="C65" s="27"/>
      <c r="D65" s="63">
        <v>5</v>
      </c>
      <c r="E65" s="24"/>
      <c r="F65" s="86">
        <f>(D65/60)*F61</f>
        <v>0.7049700000000001</v>
      </c>
      <c r="G65" s="2"/>
      <c r="H65" s="2">
        <v>5</v>
      </c>
      <c r="I65" s="2">
        <v>15</v>
      </c>
      <c r="J65" s="2">
        <v>30</v>
      </c>
      <c r="K65" s="2"/>
      <c r="L65" s="2"/>
    </row>
    <row r="66" spans="1:12" ht="15" thickBot="1">
      <c r="A66" s="29" t="s">
        <v>79</v>
      </c>
      <c r="B66" s="30"/>
      <c r="C66" s="27"/>
      <c r="D66" s="32"/>
      <c r="E66" s="24"/>
      <c r="F66" s="86">
        <f>E63+F65</f>
        <v>11.736329999999999</v>
      </c>
      <c r="G66" s="2"/>
      <c r="H66" s="2"/>
      <c r="I66" s="2"/>
      <c r="J66" s="2"/>
      <c r="K66" s="2"/>
      <c r="L66" s="2"/>
    </row>
    <row r="67" spans="1:12" ht="15" thickBot="1">
      <c r="A67" s="25" t="s">
        <v>78</v>
      </c>
      <c r="B67" s="31"/>
      <c r="C67" s="27"/>
      <c r="D67" s="64">
        <v>1.25</v>
      </c>
      <c r="E67" s="24"/>
      <c r="F67" s="24"/>
      <c r="G67" s="2"/>
      <c r="H67" s="12">
        <v>1.1</v>
      </c>
      <c r="I67" s="12">
        <v>1.2</v>
      </c>
      <c r="J67" s="12">
        <v>1.25</v>
      </c>
      <c r="K67" s="2"/>
      <c r="L67" s="2"/>
    </row>
    <row r="68" spans="1:12" ht="15" thickBot="1">
      <c r="A68" s="26"/>
      <c r="B68" s="27"/>
      <c r="C68" s="27"/>
      <c r="D68" s="27"/>
      <c r="E68" s="24"/>
      <c r="F68" s="24"/>
      <c r="G68" s="2"/>
      <c r="H68" s="2"/>
      <c r="I68" s="2"/>
      <c r="J68" s="2"/>
      <c r="K68" s="2"/>
      <c r="L68" s="2"/>
    </row>
    <row r="69" spans="1:12" ht="15.75" thickBot="1">
      <c r="A69" s="29" t="s">
        <v>80</v>
      </c>
      <c r="B69" s="30"/>
      <c r="C69" s="27"/>
      <c r="D69" s="27"/>
      <c r="E69" s="24"/>
      <c r="F69" s="86">
        <f>F66*D67</f>
        <v>14.670412499999998</v>
      </c>
      <c r="G69" s="16" t="str">
        <f>IF(F69&gt;100,"Too much current",IF(F69&gt;33,"Need Battery Box","System OK"))</f>
        <v>System OK</v>
      </c>
      <c r="H69" s="2"/>
      <c r="I69" s="2"/>
      <c r="J69" s="2"/>
      <c r="K69" s="2"/>
      <c r="L69" s="2"/>
    </row>
    <row r="70" spans="1:6" ht="15.75" thickBot="1">
      <c r="A70" s="33"/>
      <c r="B70" s="99" t="s">
        <v>108</v>
      </c>
      <c r="C70" s="100">
        <v>18</v>
      </c>
      <c r="D70" s="33" t="s">
        <v>109</v>
      </c>
      <c r="E70" s="33"/>
      <c r="F70" s="33"/>
    </row>
  </sheetData>
  <sheetProtection password="D905" sheet="1" objects="1" scenarios="1" selectLockedCells="1"/>
  <mergeCells count="6">
    <mergeCell ref="A15:A19"/>
    <mergeCell ref="A13:A14"/>
    <mergeCell ref="A37:A38"/>
    <mergeCell ref="A25:A26"/>
    <mergeCell ref="A27:A28"/>
    <mergeCell ref="A20:A24"/>
  </mergeCells>
  <conditionalFormatting sqref="C13:C14 C20 G16:G20 C40 G14 C28 C31 C34:C35 G22:G28">
    <cfRule type="cellIs" priority="1" dxfId="1" operator="equal" stopIfTrue="1">
      <formula>"Invalid"</formula>
    </cfRule>
  </conditionalFormatting>
  <conditionalFormatting sqref="C30 C36">
    <cfRule type="cellIs" priority="2" dxfId="1" operator="equal" stopIfTrue="1">
      <formula>"Add Modules"</formula>
    </cfRule>
  </conditionalFormatting>
  <conditionalFormatting sqref="C37">
    <cfRule type="cellIs" priority="3" dxfId="1" operator="equal" stopIfTrue="1">
      <formula>"Invalid"</formula>
    </cfRule>
    <cfRule type="cellIs" priority="4" dxfId="1" operator="equal" stopIfTrue="1">
      <formula>"Add Modules"</formula>
    </cfRule>
  </conditionalFormatting>
  <conditionalFormatting sqref="G59">
    <cfRule type="cellIs" priority="5" dxfId="2" operator="equal" stopIfTrue="1">
      <formula>"System OK"</formula>
    </cfRule>
    <cfRule type="cellIs" priority="6" dxfId="1" operator="equal" stopIfTrue="1">
      <formula>"Too many devices"</formula>
    </cfRule>
  </conditionalFormatting>
  <conditionalFormatting sqref="G61">
    <cfRule type="cellIs" priority="7" dxfId="2" operator="equal" stopIfTrue="1">
      <formula>"Use 170W power supply"</formula>
    </cfRule>
    <cfRule type="cellIs" priority="8" dxfId="3" operator="equal" stopIfTrue="1">
      <formula>"Use 300W power supply"</formula>
    </cfRule>
  </conditionalFormatting>
  <conditionalFormatting sqref="G69">
    <cfRule type="cellIs" priority="9" dxfId="2" operator="equal" stopIfTrue="1">
      <formula>"System OK"</formula>
    </cfRule>
    <cfRule type="cellIs" priority="10" dxfId="1" operator="equal" stopIfTrue="1">
      <formula>"Too much current"</formula>
    </cfRule>
    <cfRule type="cellIs" priority="11" dxfId="0" operator="equal" stopIfTrue="1">
      <formula>"Need Battery Box"</formula>
    </cfRule>
  </conditionalFormatting>
  <dataValidations count="18">
    <dataValidation allowBlank="1" showErrorMessage="1" sqref="E63"/>
    <dataValidation type="whole" allowBlank="1" showInputMessage="1" showErrorMessage="1" sqref="D18 D23 D20:D21 D15:D16 D29">
      <formula1>0</formula1>
      <formula2>1</formula2>
    </dataValidation>
    <dataValidation type="whole" allowBlank="1" showInputMessage="1" showErrorMessage="1" sqref="D34:D35">
      <formula1>0</formula1>
      <formula2>8</formula2>
    </dataValidation>
    <dataValidation type="whole" allowBlank="1" showInputMessage="1" showErrorMessage="1" sqref="D14">
      <formula1>0</formula1>
      <formula2>24</formula2>
    </dataValidation>
    <dataValidation type="list" allowBlank="1" showInputMessage="1" showErrorMessage="1" promptTitle="Choose Usage" prompt="Choose usage for City Tie/Leased Line module" sqref="C29">
      <formula1>$H$29:$J$29</formula1>
    </dataValidation>
    <dataValidation type="list" allowBlank="1" showInputMessage="1" showErrorMessage="1" promptTitle="Make Selection" prompt="Bell follower used?" sqref="D19 D24">
      <formula1>$H$16:$I$16</formula1>
    </dataValidation>
    <dataValidation type="whole" allowBlank="1" showInputMessage="1" showErrorMessage="1" sqref="C43:C58">
      <formula1>0</formula1>
      <formula2>504</formula2>
    </dataValidation>
    <dataValidation type="list" allowBlank="1" showInputMessage="1" showErrorMessage="1" promptTitle="Standby time" prompt="Choose Standby Time (in hours)&#10;" sqref="D63">
      <formula1>$H$63:$K$63</formula1>
    </dataValidation>
    <dataValidation type="list" allowBlank="1" showInputMessage="1" showErrorMessage="1" promptTitle="Alarm time" prompt="Choose Alarm Time (in minutes)" sqref="D65">
      <formula1>$H$65:$J$65</formula1>
    </dataValidation>
    <dataValidation type="list" allowBlank="1" showInputMessage="1" showErrorMessage="1" promptTitle="Reserve" prompt="Select battery reserve percentage" sqref="D67">
      <formula1>$H$67:$J$67</formula1>
    </dataValidation>
    <dataValidation type="whole" allowBlank="1" showInputMessage="1" showErrorMessage="1" sqref="D12:D13 D39:D40 D31:D33">
      <formula1>0</formula1>
      <formula2>3</formula2>
    </dataValidation>
    <dataValidation type="whole" allowBlank="1" showInputMessage="1" showErrorMessage="1" sqref="D37">
      <formula1>0</formula1>
      <formula2>4</formula2>
    </dataValidation>
    <dataValidation type="whole" allowBlank="1" showInputMessage="1" showErrorMessage="1" sqref="D38">
      <formula1>0</formula1>
      <formula2>96</formula2>
    </dataValidation>
    <dataValidation type="whole" allowBlank="1" showInputMessage="1" showErrorMessage="1" sqref="D17 D22 D26 D28">
      <formula1>0</formula1>
      <formula2>2</formula2>
    </dataValidation>
    <dataValidation type="list" allowBlank="1" showInputMessage="1" showErrorMessage="1" promptTitle="Make Selection" prompt="Releasing module installed?" sqref="C27">
      <formula1>$H$16:$I$16</formula1>
    </dataValidation>
    <dataValidation type="list" allowBlank="1" showInputMessage="1" showErrorMessage="1" promptTitle="Make Selection" prompt="NAC expander used?" sqref="C25">
      <formula1>$H$16:$I$16</formula1>
    </dataValidation>
    <dataValidation type="whole" allowBlank="1" showInputMessage="1" showErrorMessage="1" sqref="D30">
      <formula1>0</formula1>
      <formula2>6</formula2>
    </dataValidation>
    <dataValidation type="whole" allowBlank="1" showInputMessage="1" showErrorMessage="1" sqref="D36">
      <formula1>0</formula1>
      <formula2>5</formula2>
    </dataValidation>
  </dataValidations>
  <printOptions/>
  <pageMargins left="0.75" right="0.75" top="1" bottom="1" header="0.5" footer="0.5"/>
  <pageSetup fitToHeight="1" fitToWidth="1" horizontalDpi="600" verticalDpi="600" orientation="portrait" scale="68" r:id="rId3"/>
  <ignoredErrors>
    <ignoredError sqref="G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Pavlica</dc:creator>
  <cp:keywords/>
  <dc:description/>
  <cp:lastModifiedBy>Rich Brobst</cp:lastModifiedBy>
  <cp:lastPrinted>2012-03-12T20:11:05Z</cp:lastPrinted>
  <dcterms:created xsi:type="dcterms:W3CDTF">2012-01-18T19:09:47Z</dcterms:created>
  <dcterms:modified xsi:type="dcterms:W3CDTF">2013-10-10T12:35:53Z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468688140</vt:i4>
  </property>
  <property fmtid="{D5CDD505-2E9C-101B-9397-08002B2CF9AE}" pid="3" name="_NewReviewCycle">
    <vt:lpwstr/>
  </property>
  <property fmtid="{D5CDD505-2E9C-101B-9397-08002B2CF9AE}" pid="4" name="_EmailSubject">
    <vt:lpwstr>Bad file on partners site</vt:lpwstr>
  </property>
  <property fmtid="{D5CDD505-2E9C-101B-9397-08002B2CF9AE}" pid="5" name="_AuthorEmail">
    <vt:lpwstr>bill.lang@siemens.com</vt:lpwstr>
  </property>
  <property fmtid="{D5CDD505-2E9C-101B-9397-08002B2CF9AE}" pid="6" name="_AuthorEmailDisplayName">
    <vt:lpwstr>Lang, William</vt:lpwstr>
  </property>
  <property fmtid="{D5CDD505-2E9C-101B-9397-08002B2CF9AE}" pid="7" name="_ReviewingToolsShownOnce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