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720" windowHeight="6540" activeTab="5"/>
  </bookViews>
  <sheets>
    <sheet name="Project" sheetId="1" r:id="rId1"/>
    <sheet name="Data-Rpt" sheetId="2" r:id="rId2"/>
    <sheet name="Summary" sheetId="3" r:id="rId3"/>
    <sheet name="14063-C3" sheetId="4" r:id="rId4"/>
    <sheet name="14063-C2" sheetId="5" r:id="rId5"/>
    <sheet name="14063-C1" sheetId="6" r:id="rId6"/>
  </sheets>
  <definedNames>
    <definedName name="_xlnm.Print_Area" localSheetId="5">'14063-C1'!$A$45:$J$94</definedName>
    <definedName name="_xlnm.Print_Area" localSheetId="4">'14063-C2'!$A$45:$J$94</definedName>
    <definedName name="_xlnm.Print_Area" localSheetId="3">'14063-C3'!$A$45:$J$94</definedName>
    <definedName name="_xlnm.Print_Area" localSheetId="1">'Data-Rpt'!$A$45:$J$94</definedName>
    <definedName name="_xlnm.Print_Area" localSheetId="0">'Project'!$A$1:$G$40</definedName>
    <definedName name="_xlnm.Print_Area" localSheetId="2">'Summary'!$A$1:$O$44</definedName>
  </definedNames>
  <calcPr fullCalcOnLoad="1"/>
</workbook>
</file>

<file path=xl/sharedStrings.xml><?xml version="1.0" encoding="utf-8"?>
<sst xmlns="http://schemas.openxmlformats.org/spreadsheetml/2006/main" count="432" uniqueCount="132">
  <si>
    <t>Client:</t>
  </si>
  <si>
    <t>Attention:</t>
  </si>
  <si>
    <t>Placement Date:</t>
  </si>
  <si>
    <t>Location:</t>
  </si>
  <si>
    <t>Mix Designation:</t>
  </si>
  <si>
    <t>Design Strength:</t>
  </si>
  <si>
    <t>Air Content</t>
  </si>
  <si>
    <t>Truck #:</t>
  </si>
  <si>
    <t>Ticket #:</t>
  </si>
  <si>
    <t>Air Temp</t>
  </si>
  <si>
    <t>Water Added</t>
  </si>
  <si>
    <t>inches</t>
  </si>
  <si>
    <t>%</t>
  </si>
  <si>
    <r>
      <t xml:space="preserve">O </t>
    </r>
    <r>
      <rPr>
        <sz val="12"/>
        <rFont val="Times New Roman"/>
        <family val="1"/>
      </rPr>
      <t>F</t>
    </r>
  </si>
  <si>
    <t>Gals</t>
  </si>
  <si>
    <t>Quantity</t>
  </si>
  <si>
    <t>TEST DATA</t>
  </si>
  <si>
    <t>Age</t>
  </si>
  <si>
    <t>Sample No.</t>
  </si>
  <si>
    <t>Type</t>
  </si>
  <si>
    <t>Mix Design</t>
  </si>
  <si>
    <t>Remarks:</t>
  </si>
  <si>
    <t>Load (k)</t>
  </si>
  <si>
    <t>Weight (lb)</t>
  </si>
  <si>
    <t>Project:</t>
  </si>
  <si>
    <t>Lab Rec'd Date:</t>
  </si>
  <si>
    <t>Sand</t>
  </si>
  <si>
    <t>Cement</t>
  </si>
  <si>
    <t>Water</t>
  </si>
  <si>
    <t>Dia (in)</t>
  </si>
  <si>
    <t>Length (in)</t>
  </si>
  <si>
    <t>Unit Weight</t>
  </si>
  <si>
    <t>Aggregate</t>
  </si>
  <si>
    <t>Material</t>
  </si>
  <si>
    <t>Water Reducer</t>
  </si>
  <si>
    <t>Retarder</t>
  </si>
  <si>
    <t>Accelerator</t>
  </si>
  <si>
    <t>lb</t>
  </si>
  <si>
    <t>gal</t>
  </si>
  <si>
    <t>oz</t>
  </si>
  <si>
    <t>Air Entrain.</t>
  </si>
  <si>
    <t>Project No.:</t>
  </si>
  <si>
    <t>PROJECT INFORMATION</t>
  </si>
  <si>
    <t>Project No:</t>
  </si>
  <si>
    <t>Set No.:</t>
  </si>
  <si>
    <t>Field Test Data</t>
  </si>
  <si>
    <t>Slump (inches)</t>
  </si>
  <si>
    <t>Laboratory Test Data</t>
  </si>
  <si>
    <t>Test Date</t>
  </si>
  <si>
    <r>
      <t>Area (in</t>
    </r>
    <r>
      <rPr>
        <vertAlign val="superscript"/>
        <sz val="12"/>
        <rFont val="Times New Roman"/>
        <family val="1"/>
      </rPr>
      <t>2</t>
    </r>
    <r>
      <rPr>
        <sz val="12"/>
        <rFont val="Times New Roman"/>
        <family val="0"/>
      </rPr>
      <t>)</t>
    </r>
  </si>
  <si>
    <t>Strength (psi)</t>
  </si>
  <si>
    <t>Average 28 Day (psi):</t>
  </si>
  <si>
    <t>Supplier:</t>
  </si>
  <si>
    <t>Distribution:</t>
  </si>
  <si>
    <t>E-Mail:</t>
  </si>
  <si>
    <t>Conc. Temp.</t>
  </si>
  <si>
    <t>Load (K)</t>
  </si>
  <si>
    <t>Unit Wt.</t>
  </si>
  <si>
    <t>Tech</t>
  </si>
  <si>
    <t>Technician:</t>
  </si>
  <si>
    <t>CONCRETE COMPRESSIVE STRENGTH TEST RESULTS - ASTM C39</t>
  </si>
  <si>
    <t xml:space="preserve">    CONCRETE COMPRESSIVE STRENGTH TEST - ASTM C39</t>
  </si>
  <si>
    <t>Slump (initial)</t>
  </si>
  <si>
    <t>Slump (placed)</t>
  </si>
  <si>
    <t>Admixture:</t>
  </si>
  <si>
    <t>Conc Temp.</t>
  </si>
  <si>
    <t>Air Temp.</t>
  </si>
  <si>
    <t>in.</t>
  </si>
  <si>
    <r>
      <t>o</t>
    </r>
    <r>
      <rPr>
        <sz val="12"/>
        <rFont val="Times New Roman"/>
        <family val="0"/>
      </rPr>
      <t>F</t>
    </r>
  </si>
  <si>
    <t>Project Name:</t>
  </si>
  <si>
    <t>Project Number:</t>
  </si>
  <si>
    <t>Cylinder  Set   Number</t>
  </si>
  <si>
    <t>Date Cast</t>
  </si>
  <si>
    <t>Air Content (%)</t>
  </si>
  <si>
    <t>7 Day Result (psi) AVG.</t>
  </si>
  <si>
    <t>14 Day Result (psi)</t>
  </si>
  <si>
    <t>28 Day Result (psi)</t>
  </si>
  <si>
    <t>28 Day AVG.   (psi)</t>
  </si>
  <si>
    <t>Range</t>
  </si>
  <si>
    <t>Design Strength (PSI)</t>
  </si>
  <si>
    <t>3 Test       28 Day   Moving Ave.</t>
  </si>
  <si>
    <t>28 Day Running Average</t>
  </si>
  <si>
    <t>LOCATION OF PLACEMENT</t>
  </si>
  <si>
    <r>
      <t xml:space="preserve">Concrete Temp.     </t>
    </r>
    <r>
      <rPr>
        <b/>
        <vertAlign val="superscript"/>
        <sz val="12"/>
        <rFont val="Times New Roman"/>
        <family val="1"/>
      </rPr>
      <t>0</t>
    </r>
    <r>
      <rPr>
        <b/>
        <sz val="12"/>
        <rFont val="Times New Roman"/>
        <family val="1"/>
      </rPr>
      <t>F</t>
    </r>
  </si>
  <si>
    <t>of</t>
  </si>
  <si>
    <t>total</t>
  </si>
  <si>
    <t>Volume (yds):</t>
  </si>
  <si>
    <t>Volume (yds)</t>
  </si>
  <si>
    <t>c.y.    of</t>
  </si>
  <si>
    <t xml:space="preserve"> </t>
  </si>
  <si>
    <t xml:space="preserve">       CONCRETE COMPRESSIVE STRENGTH TEST DATA - ASTM C39</t>
  </si>
  <si>
    <t>UNE College of Pharmacy</t>
  </si>
  <si>
    <t>University of New England</t>
  </si>
  <si>
    <t>14063</t>
  </si>
  <si>
    <t>11 Hills Beach Road</t>
  </si>
  <si>
    <t>Biddeford, Maine  04005</t>
  </si>
  <si>
    <t>athibeault@une.edu</t>
  </si>
  <si>
    <t>Al Thebeault</t>
  </si>
  <si>
    <t>3/4" Aggregate</t>
  </si>
  <si>
    <t>3000psi</t>
  </si>
  <si>
    <t>Dragon Products</t>
  </si>
  <si>
    <t>C1</t>
  </si>
  <si>
    <t>Line 4 from F to G Footing and Foundation Wall</t>
  </si>
  <si>
    <t>176</t>
  </si>
  <si>
    <t>3930234</t>
  </si>
  <si>
    <t>A. Boubacar</t>
  </si>
  <si>
    <t>C1a</t>
  </si>
  <si>
    <t>C1b</t>
  </si>
  <si>
    <t>C1c</t>
  </si>
  <si>
    <t>C1d</t>
  </si>
  <si>
    <t>RM</t>
  </si>
  <si>
    <t>C2</t>
  </si>
  <si>
    <t>Wall; Line 1, C.2 to Line G.2</t>
  </si>
  <si>
    <t>Footing; From F4 to C4</t>
  </si>
  <si>
    <t>190</t>
  </si>
  <si>
    <t>4528994</t>
  </si>
  <si>
    <t>Polyheed 997 (Mid-Range Water Reducer)</t>
  </si>
  <si>
    <t>C2a</t>
  </si>
  <si>
    <t>C2b</t>
  </si>
  <si>
    <t>C2c</t>
  </si>
  <si>
    <t>C2d</t>
  </si>
  <si>
    <t>AB</t>
  </si>
  <si>
    <t>Wall; Line 1, C.2 to Line G.2, Footing; From F4 to C4</t>
  </si>
  <si>
    <t>C3</t>
  </si>
  <si>
    <t>Wall; Line 1, C.5 to Line G.2</t>
  </si>
  <si>
    <t>170</t>
  </si>
  <si>
    <t>4579001</t>
  </si>
  <si>
    <t>C3a</t>
  </si>
  <si>
    <t>C3b</t>
  </si>
  <si>
    <t>C3c</t>
  </si>
  <si>
    <t>C3d</t>
  </si>
  <si>
    <t>Wall: Line 1, C.5 to Line G.2, Footing; From F4 to C4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</si>
</sst>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yyyy"/>
  </numFmts>
  <fonts count="15">
    <font>
      <sz val="12"/>
      <name val="Times New Roman"/>
      <family val="0"/>
    </font>
    <font>
      <vertAlign val="superscript"/>
      <sz val="12"/>
      <name val="Times New Roman"/>
      <family val="1"/>
    </font>
    <font>
      <b/>
      <sz val="12"/>
      <name val="Times New Roman"/>
      <family val="1"/>
    </font>
    <font>
      <b/>
      <sz val="16"/>
      <name val="Times New Roman"/>
      <family val="1"/>
    </font>
    <font>
      <b/>
      <sz val="14"/>
      <name val="Times New Roman"/>
      <family val="1"/>
    </font>
    <font>
      <b/>
      <u val="single"/>
      <sz val="12"/>
      <name val="Times New Roman"/>
      <family val="1"/>
    </font>
    <font>
      <u val="single"/>
      <sz val="12"/>
      <color indexed="12"/>
      <name val="Times New Roman"/>
      <family val="0"/>
    </font>
    <font>
      <sz val="8"/>
      <name val="Times New Roman"/>
      <family val="1"/>
    </font>
    <font>
      <sz val="10"/>
      <name val="Times New Roman"/>
      <family val="1"/>
    </font>
    <font>
      <sz val="10"/>
      <name val="Arial"/>
      <family val="0"/>
    </font>
    <font>
      <sz val="16"/>
      <name val="Times New Roman"/>
      <family val="1"/>
    </font>
    <font>
      <b/>
      <vertAlign val="superscript"/>
      <sz val="12"/>
      <name val="Times New Roman"/>
      <family val="1"/>
    </font>
    <font>
      <sz val="14"/>
      <name val="Times New Roman"/>
      <family val="1"/>
    </font>
    <font>
      <sz val="12"/>
      <name val="Arial"/>
      <family val="2"/>
    </font>
    <font>
      <b/>
      <u val="double"/>
      <sz val="14"/>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medium"/>
      <right>
        <color indexed="63"/>
      </right>
      <top>
        <color indexed="63"/>
      </top>
      <bottom style="thin"/>
    </border>
    <border>
      <left style="thin"/>
      <right style="thin"/>
      <top style="medium"/>
      <bottom style="thin"/>
    </border>
    <border>
      <left style="thin"/>
      <right style="double"/>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color indexed="63"/>
      </left>
      <right>
        <color indexed="63"/>
      </right>
      <top>
        <color indexed="63"/>
      </top>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49" fontId="0" fillId="0" borderId="0" xfId="0" applyNumberFormat="1" applyBorder="1" applyAlignment="1" applyProtection="1">
      <alignment/>
      <protection hidden="1"/>
    </xf>
    <xf numFmtId="49" fontId="0" fillId="2" borderId="1" xfId="0" applyNumberFormat="1" applyFill="1" applyBorder="1" applyAlignment="1" applyProtection="1">
      <alignment horizontal="left"/>
      <protection hidden="1"/>
    </xf>
    <xf numFmtId="0" fontId="0" fillId="2" borderId="1" xfId="0" applyFill="1" applyBorder="1" applyAlignment="1" applyProtection="1">
      <alignment/>
      <protection hidden="1"/>
    </xf>
    <xf numFmtId="0" fontId="0" fillId="2" borderId="0" xfId="0" applyFill="1" applyBorder="1" applyAlignment="1" applyProtection="1">
      <alignment/>
      <protection hidden="1"/>
    </xf>
    <xf numFmtId="0" fontId="0" fillId="0" borderId="2" xfId="0" applyBorder="1" applyAlignment="1" applyProtection="1">
      <alignment/>
      <protection hidden="1"/>
    </xf>
    <xf numFmtId="0" fontId="0" fillId="0" borderId="0" xfId="0" applyAlignment="1" applyProtection="1">
      <alignment horizontal="center"/>
      <protection hidden="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0" fillId="0" borderId="0" xfId="0" applyAlignment="1" applyProtection="1">
      <alignment horizontal="centerContinuous"/>
      <protection hidden="1"/>
    </xf>
    <xf numFmtId="49"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Continuous"/>
      <protection hidden="1"/>
    </xf>
    <xf numFmtId="0" fontId="0" fillId="0" borderId="0" xfId="0" applyBorder="1" applyAlignment="1" applyProtection="1">
      <alignment horizontal="left"/>
      <protection hidden="1"/>
    </xf>
    <xf numFmtId="0" fontId="1" fillId="0" borderId="0" xfId="0" applyFont="1" applyBorder="1" applyAlignment="1" applyProtection="1">
      <alignment/>
      <protection hidden="1"/>
    </xf>
    <xf numFmtId="49" fontId="2" fillId="0" borderId="0" xfId="0" applyNumberFormat="1" applyFont="1" applyBorder="1" applyAlignment="1" applyProtection="1">
      <alignment horizontal="center"/>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2" fillId="0" borderId="4" xfId="0" applyFont="1"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protection hidden="1"/>
    </xf>
    <xf numFmtId="0" fontId="0" fillId="0" borderId="10" xfId="0" applyBorder="1" applyAlignment="1" applyProtection="1">
      <alignment horizontal="center"/>
      <protection hidden="1"/>
    </xf>
    <xf numFmtId="0" fontId="0"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0" fontId="0" fillId="0" borderId="0" xfId="0" applyNumberFormat="1" applyFill="1" applyBorder="1" applyAlignment="1" applyProtection="1">
      <alignment horizontal="left"/>
      <protection hidden="1"/>
    </xf>
    <xf numFmtId="15" fontId="0" fillId="0" borderId="0" xfId="0" applyNumberFormat="1" applyFill="1" applyBorder="1" applyAlignment="1" applyProtection="1">
      <alignment horizontal="left"/>
      <protection hidden="1"/>
    </xf>
    <xf numFmtId="12" fontId="0" fillId="0" borderId="0" xfId="0" applyNumberFormat="1" applyBorder="1" applyAlignment="1" applyProtection="1">
      <alignment horizontal="left"/>
      <protection hidden="1"/>
    </xf>
    <xf numFmtId="164" fontId="0" fillId="0" borderId="0" xfId="0" applyNumberFormat="1" applyBorder="1" applyAlignment="1" applyProtection="1">
      <alignment horizontal="left"/>
      <protection hidden="1"/>
    </xf>
    <xf numFmtId="0" fontId="0" fillId="0" borderId="11" xfId="0" applyBorder="1" applyAlignment="1" applyProtection="1">
      <alignment/>
      <protection hidden="1"/>
    </xf>
    <xf numFmtId="0" fontId="2" fillId="0" borderId="11" xfId="0" applyFont="1" applyBorder="1" applyAlignment="1" applyProtection="1">
      <alignment/>
      <protection hidden="1"/>
    </xf>
    <xf numFmtId="0" fontId="0" fillId="0" borderId="11" xfId="0" applyBorder="1" applyAlignment="1" applyProtection="1">
      <alignment horizontal="centerContinuous"/>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vertical="center"/>
      <protection hidden="1"/>
    </xf>
    <xf numFmtId="15" fontId="0" fillId="0" borderId="16"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 fontId="0" fillId="0" borderId="9" xfId="0" applyNumberFormat="1" applyBorder="1" applyAlignment="1" applyProtection="1">
      <alignment horizontal="center" vertical="center"/>
      <protection hidden="1"/>
    </xf>
    <xf numFmtId="164" fontId="0" fillId="0" borderId="8" xfId="0" applyNumberFormat="1" applyBorder="1" applyAlignment="1" applyProtection="1">
      <alignment horizontal="center" vertical="center"/>
      <protection hidden="1"/>
    </xf>
    <xf numFmtId="2" fontId="0" fillId="0" borderId="9" xfId="0" applyNumberFormat="1" applyBorder="1" applyAlignment="1" applyProtection="1">
      <alignment horizontal="center" vertical="center"/>
      <protection hidden="1"/>
    </xf>
    <xf numFmtId="164" fontId="0" fillId="0" borderId="17" xfId="0" applyNumberFormat="1" applyBorder="1" applyAlignment="1" applyProtection="1">
      <alignment horizontal="center" vertical="center"/>
      <protection hidden="1"/>
    </xf>
    <xf numFmtId="0" fontId="0" fillId="0" borderId="18" xfId="0" applyNumberFormat="1" applyBorder="1" applyAlignment="1" applyProtection="1">
      <alignment horizontal="center" vertical="center"/>
      <protection hidden="1"/>
    </xf>
    <xf numFmtId="15" fontId="0" fillId="0" borderId="19"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15" fontId="0" fillId="0" borderId="21" xfId="0" applyNumberFormat="1" applyBorder="1" applyAlignment="1" applyProtection="1">
      <alignment horizontal="center" vertical="center"/>
      <protection hidden="1"/>
    </xf>
    <xf numFmtId="0" fontId="0" fillId="0" borderId="22" xfId="0" applyBorder="1" applyAlignment="1" applyProtection="1">
      <alignment horizontal="center" vertical="center"/>
      <protection hidden="1"/>
    </xf>
    <xf numFmtId="1" fontId="0" fillId="0" borderId="23"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2" fontId="0" fillId="0" borderId="23" xfId="0" applyNumberFormat="1" applyBorder="1" applyAlignment="1" applyProtection="1">
      <alignment horizontal="center" vertical="center"/>
      <protection hidden="1"/>
    </xf>
    <xf numFmtId="164" fontId="0" fillId="0" borderId="24" xfId="0" applyNumberFormat="1" applyBorder="1" applyAlignment="1" applyProtection="1">
      <alignment horizontal="center" vertical="center"/>
      <protection hidden="1"/>
    </xf>
    <xf numFmtId="0" fontId="0" fillId="0" borderId="25" xfId="0" applyNumberFormat="1" applyBorder="1" applyAlignment="1" applyProtection="1">
      <alignment horizontal="center" vertical="center"/>
      <protection hidden="1"/>
    </xf>
    <xf numFmtId="0" fontId="2" fillId="0" borderId="0" xfId="0" applyFont="1" applyBorder="1" applyAlignment="1" applyProtection="1">
      <alignment/>
      <protection hidden="1"/>
    </xf>
    <xf numFmtId="0" fontId="3" fillId="0" borderId="0" xfId="0" applyFont="1" applyFill="1" applyAlignment="1" applyProtection="1">
      <alignment horizontal="left"/>
      <protection hidden="1"/>
    </xf>
    <xf numFmtId="49" fontId="0" fillId="0" borderId="2" xfId="0" applyNumberFormat="1" applyBorder="1" applyAlignment="1" applyProtection="1">
      <alignment/>
      <protection hidden="1"/>
    </xf>
    <xf numFmtId="0" fontId="0" fillId="3" borderId="2" xfId="0" applyFill="1" applyBorder="1" applyAlignment="1" applyProtection="1">
      <alignment/>
      <protection hidden="1"/>
    </xf>
    <xf numFmtId="49" fontId="0" fillId="2" borderId="2" xfId="0" applyNumberFormat="1" applyFill="1" applyBorder="1" applyAlignment="1" applyProtection="1">
      <alignment horizontal="left"/>
      <protection hidden="1"/>
    </xf>
    <xf numFmtId="0" fontId="0" fillId="2" borderId="2" xfId="0" applyFill="1" applyBorder="1" applyAlignment="1" applyProtection="1">
      <alignment/>
      <protection hidden="1"/>
    </xf>
    <xf numFmtId="49" fontId="0" fillId="2" borderId="10" xfId="0" applyNumberFormat="1" applyFill="1" applyBorder="1" applyAlignment="1" applyProtection="1">
      <alignment horizontal="left"/>
      <protection hidden="1"/>
    </xf>
    <xf numFmtId="0" fontId="0" fillId="2" borderId="10" xfId="0" applyFill="1" applyBorder="1" applyAlignment="1" applyProtection="1">
      <alignment/>
      <protection hidden="1"/>
    </xf>
    <xf numFmtId="49" fontId="6" fillId="2" borderId="0" xfId="19" applyNumberFormat="1" applyFill="1" applyAlignment="1" applyProtection="1">
      <alignment horizontal="left"/>
      <protection hidden="1"/>
    </xf>
    <xf numFmtId="49" fontId="0" fillId="0" borderId="2" xfId="0" applyNumberFormat="1" applyBorder="1" applyAlignment="1" applyProtection="1">
      <alignment horizontal="left"/>
      <protection hidden="1"/>
    </xf>
    <xf numFmtId="49" fontId="0" fillId="0" borderId="0" xfId="0" applyNumberFormat="1" applyAlignment="1" applyProtection="1">
      <alignment/>
      <protection hidden="1"/>
    </xf>
    <xf numFmtId="49" fontId="0" fillId="2" borderId="1" xfId="0" applyNumberFormat="1" applyFont="1" applyFill="1" applyBorder="1" applyAlignment="1" applyProtection="1">
      <alignment horizontal="center"/>
      <protection hidden="1"/>
    </xf>
    <xf numFmtId="1" fontId="0" fillId="2" borderId="10" xfId="0" applyNumberFormat="1" applyFont="1" applyFill="1" applyBorder="1" applyAlignment="1" applyProtection="1">
      <alignment horizontal="center"/>
      <protection hidden="1"/>
    </xf>
    <xf numFmtId="49" fontId="0" fillId="2" borderId="10" xfId="0" applyNumberFormat="1" applyFont="1" applyFill="1" applyBorder="1" applyAlignment="1" applyProtection="1">
      <alignment horizontal="center"/>
      <protection hidden="1"/>
    </xf>
    <xf numFmtId="0" fontId="2" fillId="0" borderId="26" xfId="0" applyFont="1" applyBorder="1" applyAlignment="1" applyProtection="1">
      <alignment horizontal="centerContinuous"/>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centerContinuous"/>
      <protection hidden="1"/>
    </xf>
    <xf numFmtId="0" fontId="2" fillId="0" borderId="27" xfId="0" applyFont="1" applyBorder="1" applyAlignment="1" applyProtection="1">
      <alignment horizontal="centerContinuous"/>
      <protection hidden="1"/>
    </xf>
    <xf numFmtId="0" fontId="2" fillId="0" borderId="19" xfId="0" applyFont="1" applyBorder="1" applyAlignment="1" applyProtection="1">
      <alignment horizontal="center"/>
      <protection hidden="1"/>
    </xf>
    <xf numFmtId="0" fontId="0" fillId="0" borderId="19" xfId="0" applyBorder="1" applyAlignment="1" applyProtection="1">
      <alignment/>
      <protection hidden="1"/>
    </xf>
    <xf numFmtId="49" fontId="0" fillId="2" borderId="19" xfId="0" applyNumberFormat="1" applyFill="1" applyBorder="1" applyAlignment="1" applyProtection="1">
      <alignment horizontal="center"/>
      <protection hidden="1"/>
    </xf>
    <xf numFmtId="1" fontId="0" fillId="2" borderId="26" xfId="0" applyNumberFormat="1" applyFill="1" applyBorder="1" applyAlignment="1" applyProtection="1">
      <alignment horizontal="center"/>
      <protection hidden="1"/>
    </xf>
    <xf numFmtId="0" fontId="0" fillId="0" borderId="27" xfId="0" applyBorder="1" applyAlignment="1" applyProtection="1">
      <alignment horizontal="center"/>
      <protection hidden="1"/>
    </xf>
    <xf numFmtId="0" fontId="0" fillId="0" borderId="0" xfId="0" applyNumberFormat="1" applyBorder="1" applyAlignment="1" applyProtection="1">
      <alignment horizontal="left"/>
      <protection hidden="1"/>
    </xf>
    <xf numFmtId="49" fontId="0" fillId="0" borderId="1" xfId="0" applyNumberFormat="1" applyFill="1" applyBorder="1" applyAlignment="1" applyProtection="1">
      <alignment horizontal="left"/>
      <protection hidden="1"/>
    </xf>
    <xf numFmtId="1" fontId="0" fillId="0" borderId="1" xfId="0" applyNumberFormat="1" applyFill="1" applyBorder="1" applyAlignment="1" applyProtection="1">
      <alignment horizontal="center"/>
      <protection hidden="1"/>
    </xf>
    <xf numFmtId="165" fontId="0" fillId="0" borderId="1" xfId="0" applyNumberFormat="1" applyFill="1" applyBorder="1" applyAlignment="1" applyProtection="1">
      <alignment horizontal="center"/>
      <protection hidden="1"/>
    </xf>
    <xf numFmtId="164" fontId="0" fillId="0" borderId="1" xfId="0" applyNumberFormat="1" applyFill="1" applyBorder="1" applyAlignment="1" applyProtection="1">
      <alignment horizontal="center"/>
      <protection hidden="1"/>
    </xf>
    <xf numFmtId="164" fontId="0" fillId="0" borderId="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0" fillId="0" borderId="0" xfId="0" applyAlignment="1" applyProtection="1">
      <alignment horizontal="left"/>
      <protection hidden="1"/>
    </xf>
    <xf numFmtId="49" fontId="0" fillId="0" borderId="10" xfId="0" applyNumberFormat="1" applyFill="1" applyBorder="1" applyAlignment="1" applyProtection="1">
      <alignment horizontal="left"/>
      <protection hidden="1"/>
    </xf>
    <xf numFmtId="1" fontId="0" fillId="0" borderId="10" xfId="0" applyNumberFormat="1" applyFill="1" applyBorder="1" applyAlignment="1" applyProtection="1">
      <alignment horizontal="center"/>
      <protection hidden="1"/>
    </xf>
    <xf numFmtId="165" fontId="0" fillId="0" borderId="10" xfId="0" applyNumberFormat="1" applyFill="1" applyBorder="1" applyAlignment="1" applyProtection="1">
      <alignment horizontal="center"/>
      <protection hidden="1"/>
    </xf>
    <xf numFmtId="164" fontId="0" fillId="0" borderId="10" xfId="0" applyNumberFormat="1" applyFill="1" applyBorder="1" applyAlignment="1" applyProtection="1">
      <alignment horizontal="center"/>
      <protection hidden="1"/>
    </xf>
    <xf numFmtId="49" fontId="0" fillId="0" borderId="2" xfId="0" applyNumberFormat="1" applyFill="1" applyBorder="1" applyAlignment="1" applyProtection="1">
      <alignment horizontal="left"/>
      <protection hidden="1"/>
    </xf>
    <xf numFmtId="1" fontId="0" fillId="0" borderId="2" xfId="0" applyNumberFormat="1" applyFill="1" applyBorder="1" applyAlignment="1" applyProtection="1">
      <alignment horizontal="center"/>
      <protection hidden="1"/>
    </xf>
    <xf numFmtId="165" fontId="0" fillId="0" borderId="2" xfId="0" applyNumberFormat="1" applyFill="1" applyBorder="1" applyAlignment="1" applyProtection="1">
      <alignment horizontal="center"/>
      <protection hidden="1"/>
    </xf>
    <xf numFmtId="164" fontId="0" fillId="0" borderId="2" xfId="0" applyNumberFormat="1" applyFill="1" applyBorder="1" applyAlignment="1" applyProtection="1">
      <alignment horizontal="center"/>
      <protection hidden="1"/>
    </xf>
    <xf numFmtId="0" fontId="0" fillId="0" borderId="0" xfId="0" applyNumberFormat="1" applyBorder="1" applyAlignment="1" applyProtection="1">
      <alignment horizontal="center"/>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protection hidden="1"/>
    </xf>
    <xf numFmtId="0" fontId="0" fillId="0" borderId="28" xfId="0" applyBorder="1" applyAlignment="1" applyProtection="1">
      <alignment horizontal="center"/>
      <protection hidden="1"/>
    </xf>
    <xf numFmtId="0" fontId="0" fillId="0" borderId="0" xfId="0" applyNumberFormat="1" applyFill="1" applyBorder="1" applyAlignment="1" applyProtection="1">
      <alignment horizontal="center"/>
      <protection hidden="1"/>
    </xf>
    <xf numFmtId="15" fontId="0" fillId="0" borderId="0" xfId="0" applyNumberFormat="1" applyFill="1" applyBorder="1" applyAlignment="1" applyProtection="1">
      <alignment horizontal="center"/>
      <protection hidden="1"/>
    </xf>
    <xf numFmtId="1" fontId="0" fillId="0" borderId="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3" fillId="0" borderId="0" xfId="20" applyFont="1" applyProtection="1">
      <alignment/>
      <protection hidden="1"/>
    </xf>
    <xf numFmtId="0" fontId="10" fillId="0" borderId="0" xfId="20" applyFont="1" applyProtection="1">
      <alignment/>
      <protection hidden="1"/>
    </xf>
    <xf numFmtId="0" fontId="9" fillId="0" borderId="0" xfId="20" applyProtection="1">
      <alignment/>
      <protection hidden="1"/>
    </xf>
    <xf numFmtId="0" fontId="4" fillId="0" borderId="0" xfId="20" applyFont="1" applyProtection="1">
      <alignment/>
      <protection hidden="1"/>
    </xf>
    <xf numFmtId="0" fontId="8" fillId="0" borderId="0" xfId="20" applyFont="1" applyProtection="1">
      <alignment/>
      <protection hidden="1"/>
    </xf>
    <xf numFmtId="0" fontId="8" fillId="0" borderId="0" xfId="20" applyFont="1" applyAlignment="1" applyProtection="1">
      <alignment horizontal="center"/>
      <protection hidden="1"/>
    </xf>
    <xf numFmtId="0" fontId="0" fillId="0" borderId="0" xfId="20" applyFont="1" applyProtection="1">
      <alignment/>
      <protection hidden="1"/>
    </xf>
    <xf numFmtId="0" fontId="0" fillId="0" borderId="29" xfId="20" applyFont="1" applyBorder="1" applyAlignment="1" applyProtection="1">
      <alignment horizontal="center" vertical="center"/>
      <protection locked="0"/>
    </xf>
    <xf numFmtId="16" fontId="0" fillId="0" borderId="29" xfId="20" applyNumberFormat="1" applyFont="1" applyBorder="1" applyAlignment="1" applyProtection="1">
      <alignment horizontal="center" vertical="center"/>
      <protection locked="0"/>
    </xf>
    <xf numFmtId="12" fontId="0" fillId="0" borderId="29" xfId="20" applyNumberFormat="1" applyFont="1" applyBorder="1" applyAlignment="1" applyProtection="1">
      <alignment horizontal="center" vertical="center"/>
      <protection locked="0"/>
    </xf>
    <xf numFmtId="0" fontId="0" fillId="0" borderId="29" xfId="20" applyFont="1" applyBorder="1" applyAlignment="1" applyProtection="1">
      <alignment horizontal="center" vertical="center"/>
      <protection hidden="1"/>
    </xf>
    <xf numFmtId="3" fontId="0" fillId="0" borderId="29" xfId="20" applyNumberFormat="1" applyFont="1" applyBorder="1" applyAlignment="1" applyProtection="1">
      <alignment horizontal="center" vertical="center"/>
      <protection hidden="1"/>
    </xf>
    <xf numFmtId="1" fontId="0" fillId="0" borderId="29" xfId="20" applyNumberFormat="1" applyFont="1" applyBorder="1" applyAlignment="1" applyProtection="1">
      <alignment horizontal="center" vertical="center"/>
      <protection hidden="1"/>
    </xf>
    <xf numFmtId="0" fontId="0" fillId="0" borderId="29" xfId="20" applyFont="1" applyBorder="1" applyAlignment="1" applyProtection="1">
      <alignment horizontal="center" wrapText="1"/>
      <protection locked="0"/>
    </xf>
    <xf numFmtId="164" fontId="0" fillId="0" borderId="29" xfId="20" applyNumberFormat="1" applyFont="1" applyBorder="1" applyAlignment="1" applyProtection="1">
      <alignment horizontal="center" vertical="center"/>
      <protection locked="0"/>
    </xf>
    <xf numFmtId="1" fontId="0" fillId="0" borderId="19" xfId="20" applyNumberFormat="1" applyFont="1" applyBorder="1" applyAlignment="1" applyProtection="1">
      <alignment horizontal="center" vertical="center"/>
      <protection hidden="1"/>
    </xf>
    <xf numFmtId="0" fontId="0" fillId="0" borderId="19" xfId="20" applyFont="1" applyBorder="1" applyAlignment="1" applyProtection="1">
      <alignment horizontal="center"/>
      <protection locked="0"/>
    </xf>
    <xf numFmtId="16" fontId="0" fillId="0" borderId="19" xfId="20" applyNumberFormat="1" applyFont="1" applyBorder="1" applyAlignment="1" applyProtection="1">
      <alignment horizontal="center"/>
      <protection locked="0"/>
    </xf>
    <xf numFmtId="12" fontId="0" fillId="0" borderId="19" xfId="20" applyNumberFormat="1" applyFont="1" applyBorder="1" applyAlignment="1" applyProtection="1">
      <alignment horizontal="center"/>
      <protection locked="0"/>
    </xf>
    <xf numFmtId="0" fontId="0" fillId="0" borderId="19" xfId="20" applyFont="1" applyBorder="1" applyAlignment="1" applyProtection="1">
      <alignment horizontal="center" vertical="center"/>
      <protection hidden="1"/>
    </xf>
    <xf numFmtId="0" fontId="0" fillId="0" borderId="19" xfId="20" applyFont="1" applyBorder="1" applyAlignment="1" applyProtection="1">
      <alignment horizontal="center"/>
      <protection hidden="1"/>
    </xf>
    <xf numFmtId="0" fontId="0" fillId="0" borderId="19" xfId="20" applyFont="1" applyBorder="1" applyAlignment="1" applyProtection="1">
      <alignment horizontal="center" wrapText="1"/>
      <protection locked="0"/>
    </xf>
    <xf numFmtId="0" fontId="12" fillId="0" borderId="0" xfId="20" applyFont="1" applyProtection="1">
      <alignment/>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49" fontId="0" fillId="0" borderId="0" xfId="0" applyNumberFormat="1" applyBorder="1" applyAlignment="1" applyProtection="1">
      <alignment horizontal="left"/>
      <protection hidden="1"/>
    </xf>
    <xf numFmtId="1" fontId="0" fillId="0" borderId="0" xfId="0" applyNumberFormat="1" applyBorder="1" applyAlignment="1" applyProtection="1">
      <alignment horizontal="right"/>
      <protection hidden="1"/>
    </xf>
    <xf numFmtId="0" fontId="0" fillId="0" borderId="1" xfId="0" applyBorder="1" applyAlignment="1" applyProtection="1">
      <alignment horizontal="center"/>
      <protection hidden="1" locked="0"/>
    </xf>
    <xf numFmtId="49" fontId="0" fillId="2" borderId="30" xfId="0" applyNumberFormat="1" applyFill="1" applyBorder="1" applyAlignment="1" applyProtection="1">
      <alignment horizontal="left"/>
      <protection hidden="1" locked="0"/>
    </xf>
    <xf numFmtId="49" fontId="0" fillId="2" borderId="1" xfId="0" applyNumberFormat="1" applyFill="1" applyBorder="1" applyAlignment="1" applyProtection="1">
      <alignment horizontal="left"/>
      <protection hidden="1" locked="0"/>
    </xf>
    <xf numFmtId="15" fontId="0" fillId="2" borderId="1" xfId="0" applyNumberFormat="1" applyFill="1" applyBorder="1" applyAlignment="1" applyProtection="1">
      <alignment horizontal="center"/>
      <protection hidden="1" locked="0"/>
    </xf>
    <xf numFmtId="15" fontId="0" fillId="2" borderId="10" xfId="0" applyNumberFormat="1" applyFill="1" applyBorder="1" applyAlignment="1" applyProtection="1">
      <alignment horizontal="center"/>
      <protection hidden="1" locked="0"/>
    </xf>
    <xf numFmtId="49" fontId="0" fillId="2" borderId="1" xfId="0" applyNumberFormat="1" applyFill="1" applyBorder="1" applyAlignment="1" applyProtection="1">
      <alignment horizontal="center"/>
      <protection hidden="1" locked="0"/>
    </xf>
    <xf numFmtId="0" fontId="0" fillId="2" borderId="10" xfId="0" applyFill="1" applyBorder="1" applyAlignment="1" applyProtection="1">
      <alignment horizontal="center"/>
      <protection hidden="1" locked="0"/>
    </xf>
    <xf numFmtId="12" fontId="0" fillId="2" borderId="1" xfId="0" applyNumberFormat="1" applyFill="1" applyBorder="1" applyAlignment="1" applyProtection="1">
      <alignment horizontal="center"/>
      <protection hidden="1" locked="0"/>
    </xf>
    <xf numFmtId="164" fontId="0" fillId="2" borderId="10" xfId="0" applyNumberFormat="1" applyFill="1" applyBorder="1" applyAlignment="1" applyProtection="1">
      <alignment horizontal="center"/>
      <protection hidden="1" locked="0"/>
    </xf>
    <xf numFmtId="1" fontId="0" fillId="2" borderId="10" xfId="0" applyNumberFormat="1" applyFill="1" applyBorder="1" applyAlignment="1" applyProtection="1">
      <alignment horizontal="center"/>
      <protection hidden="1" locked="0"/>
    </xf>
    <xf numFmtId="0" fontId="0" fillId="0" borderId="1" xfId="0" applyBorder="1" applyAlignment="1" applyProtection="1">
      <alignment/>
      <protection hidden="1" locked="0"/>
    </xf>
    <xf numFmtId="0" fontId="0" fillId="2" borderId="31" xfId="0" applyNumberFormat="1" applyFill="1" applyBorder="1" applyAlignment="1" applyProtection="1">
      <alignment horizontal="center"/>
      <protection hidden="1" locked="0"/>
    </xf>
    <xf numFmtId="15" fontId="0" fillId="0" borderId="27" xfId="0" applyNumberFormat="1" applyBorder="1" applyAlignment="1" applyProtection="1">
      <alignment horizontal="center"/>
      <protection hidden="1" locked="0"/>
    </xf>
    <xf numFmtId="1" fontId="0" fillId="2" borderId="27" xfId="0" applyNumberFormat="1" applyFill="1" applyBorder="1" applyAlignment="1" applyProtection="1">
      <alignment horizontal="center"/>
      <protection hidden="1" locked="0"/>
    </xf>
    <xf numFmtId="2" fontId="0" fillId="2" borderId="27" xfId="0" applyNumberFormat="1" applyFill="1" applyBorder="1" applyAlignment="1" applyProtection="1">
      <alignment horizontal="center"/>
      <protection hidden="1" locked="0"/>
    </xf>
    <xf numFmtId="2" fontId="0" fillId="2" borderId="19" xfId="0" applyNumberFormat="1" applyFill="1" applyBorder="1" applyAlignment="1" applyProtection="1">
      <alignment horizontal="center"/>
      <protection hidden="1" locked="0"/>
    </xf>
    <xf numFmtId="164" fontId="0" fillId="0" borderId="26" xfId="0" applyNumberFormat="1" applyBorder="1" applyAlignment="1" applyProtection="1">
      <alignment horizontal="center"/>
      <protection hidden="1" locked="0"/>
    </xf>
    <xf numFmtId="164" fontId="0" fillId="2" borderId="26" xfId="0" applyNumberFormat="1" applyFill="1" applyBorder="1" applyAlignment="1" applyProtection="1">
      <alignment horizontal="center"/>
      <protection hidden="1" locked="0"/>
    </xf>
    <xf numFmtId="1" fontId="0" fillId="2" borderId="26" xfId="0" applyNumberFormat="1" applyFill="1" applyBorder="1" applyAlignment="1" applyProtection="1">
      <alignment horizontal="center"/>
      <protection hidden="1" locked="0"/>
    </xf>
    <xf numFmtId="1" fontId="0" fillId="2" borderId="32" xfId="0" applyNumberFormat="1" applyFill="1" applyBorder="1" applyAlignment="1" applyProtection="1">
      <alignment horizontal="center"/>
      <protection hidden="1" locked="0"/>
    </xf>
    <xf numFmtId="0" fontId="0" fillId="2" borderId="33" xfId="0" applyNumberFormat="1" applyFill="1" applyBorder="1" applyAlignment="1" applyProtection="1">
      <alignment horizontal="center"/>
      <protection hidden="1" locked="0"/>
    </xf>
    <xf numFmtId="15" fontId="0" fillId="0" borderId="21" xfId="0" applyNumberFormat="1" applyBorder="1" applyAlignment="1" applyProtection="1">
      <alignment horizontal="center"/>
      <protection hidden="1" locked="0"/>
    </xf>
    <xf numFmtId="1" fontId="0" fillId="2" borderId="22" xfId="0" applyNumberFormat="1" applyFill="1" applyBorder="1" applyAlignment="1" applyProtection="1">
      <alignment horizontal="center"/>
      <protection hidden="1" locked="0"/>
    </xf>
    <xf numFmtId="2" fontId="0" fillId="2" borderId="22" xfId="0" applyNumberFormat="1" applyFill="1" applyBorder="1" applyAlignment="1" applyProtection="1">
      <alignment horizontal="center"/>
      <protection hidden="1" locked="0"/>
    </xf>
    <xf numFmtId="2" fontId="0" fillId="2" borderId="21" xfId="0" applyNumberFormat="1" applyFill="1" applyBorder="1" applyAlignment="1" applyProtection="1">
      <alignment horizontal="center"/>
      <protection hidden="1" locked="0"/>
    </xf>
    <xf numFmtId="164" fontId="0" fillId="0" borderId="21" xfId="0" applyNumberFormat="1" applyBorder="1" applyAlignment="1" applyProtection="1">
      <alignment horizontal="center"/>
      <protection hidden="1" locked="0"/>
    </xf>
    <xf numFmtId="164" fontId="0" fillId="2" borderId="23" xfId="0" applyNumberFormat="1" applyFill="1" applyBorder="1" applyAlignment="1" applyProtection="1">
      <alignment horizontal="center"/>
      <protection hidden="1" locked="0"/>
    </xf>
    <xf numFmtId="1" fontId="0" fillId="2" borderId="23" xfId="0" applyNumberFormat="1" applyFill="1" applyBorder="1" applyAlignment="1" applyProtection="1">
      <alignment horizontal="center"/>
      <protection hidden="1" locked="0"/>
    </xf>
    <xf numFmtId="1" fontId="0" fillId="2" borderId="34" xfId="0" applyNumberFormat="1" applyFill="1" applyBorder="1" applyAlignment="1" applyProtection="1">
      <alignment horizontal="center"/>
      <protection hidden="1" locked="0"/>
    </xf>
    <xf numFmtId="0" fontId="0" fillId="0" borderId="0" xfId="0" applyAlignment="1" applyProtection="1">
      <alignment/>
      <protection hidden="1" locked="0"/>
    </xf>
    <xf numFmtId="0" fontId="0" fillId="0" borderId="0" xfId="0" applyBorder="1" applyAlignment="1" applyProtection="1">
      <alignment/>
      <protection hidden="1" locked="0"/>
    </xf>
    <xf numFmtId="0" fontId="0" fillId="0" borderId="1" xfId="0" applyFont="1" applyBorder="1" applyAlignment="1" applyProtection="1">
      <alignment horizontal="right"/>
      <protection hidden="1" locked="0"/>
    </xf>
    <xf numFmtId="49" fontId="0" fillId="0" borderId="1" xfId="0" applyNumberFormat="1" applyBorder="1" applyAlignment="1" applyProtection="1">
      <alignment horizontal="center"/>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49" fontId="0" fillId="0" borderId="1" xfId="0" applyNumberFormat="1" applyFill="1" applyBorder="1" applyAlignment="1" applyProtection="1">
      <alignment horizontal="left"/>
      <protection hidden="1" locked="0"/>
    </xf>
    <xf numFmtId="1" fontId="0" fillId="0" borderId="1" xfId="0" applyNumberFormat="1" applyFill="1" applyBorder="1" applyAlignment="1" applyProtection="1">
      <alignment horizontal="left"/>
      <protection hidden="1" locked="0"/>
    </xf>
    <xf numFmtId="12" fontId="0" fillId="0" borderId="29" xfId="20" applyNumberFormat="1" applyFont="1" applyBorder="1" applyAlignment="1" applyProtection="1" quotePrefix="1">
      <alignment horizontal="center" vertical="center"/>
      <protection locked="0"/>
    </xf>
    <xf numFmtId="0" fontId="3" fillId="0" borderId="30" xfId="0" applyFont="1" applyBorder="1" applyAlignment="1" applyProtection="1">
      <alignment horizontal="left"/>
      <protection hidden="1"/>
    </xf>
    <xf numFmtId="0" fontId="0" fillId="0" borderId="30" xfId="0" applyBorder="1" applyAlignment="1" applyProtection="1">
      <alignment/>
      <protection hidden="1"/>
    </xf>
    <xf numFmtId="0" fontId="2" fillId="0" borderId="30" xfId="0" applyFont="1" applyBorder="1" applyAlignment="1" applyProtection="1">
      <alignment/>
      <protection hidden="1"/>
    </xf>
    <xf numFmtId="0" fontId="0" fillId="0" borderId="1" xfId="0" applyNumberFormat="1" applyFill="1" applyBorder="1" applyAlignment="1" applyProtection="1">
      <alignment horizontal="left"/>
      <protection hidden="1" locked="0"/>
    </xf>
    <xf numFmtId="0" fontId="4" fillId="0" borderId="0"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2" fillId="0" borderId="29" xfId="20" applyFont="1" applyBorder="1" applyAlignment="1" applyProtection="1">
      <alignment horizontal="center" vertical="justify"/>
      <protection hidden="1"/>
    </xf>
    <xf numFmtId="0" fontId="2" fillId="0" borderId="35" xfId="20" applyFont="1" applyBorder="1" applyAlignment="1" applyProtection="1">
      <alignment horizontal="center" vertical="justify"/>
      <protection hidden="1"/>
    </xf>
    <xf numFmtId="0" fontId="2" fillId="0" borderId="8" xfId="20" applyFont="1" applyBorder="1" applyAlignment="1" applyProtection="1">
      <alignment horizontal="center" vertical="justify"/>
      <protection hidden="1"/>
    </xf>
    <xf numFmtId="0" fontId="2" fillId="0" borderId="29" xfId="20" applyFont="1" applyBorder="1" applyAlignment="1" applyProtection="1">
      <alignment horizontal="center" vertical="center"/>
      <protection hidden="1"/>
    </xf>
    <xf numFmtId="0" fontId="2" fillId="0" borderId="35" xfId="20" applyFont="1" applyBorder="1" applyAlignment="1" applyProtection="1">
      <alignment horizontal="center" vertical="center"/>
      <protection hidden="1"/>
    </xf>
    <xf numFmtId="0" fontId="2" fillId="0" borderId="8" xfId="20" applyFont="1" applyBorder="1" applyAlignment="1" applyProtection="1">
      <alignment horizontal="center" vertical="center"/>
      <protection hidden="1"/>
    </xf>
    <xf numFmtId="0" fontId="9" fillId="0" borderId="35" xfId="20" applyBorder="1" applyAlignment="1" applyProtection="1">
      <alignment horizontal="center" vertical="justify"/>
      <protection hidden="1"/>
    </xf>
    <xf numFmtId="0" fontId="9" fillId="0" borderId="8" xfId="20" applyBorder="1" applyAlignment="1" applyProtection="1">
      <alignment horizontal="center" vertical="justify"/>
      <protection hidden="1"/>
    </xf>
    <xf numFmtId="0" fontId="10" fillId="0" borderId="0" xfId="20" applyFont="1" applyAlignment="1" applyProtection="1">
      <alignment horizontal="left"/>
      <protection hidden="1"/>
    </xf>
    <xf numFmtId="0" fontId="8" fillId="0" borderId="0" xfId="20" applyFont="1" applyAlignment="1" applyProtection="1">
      <alignment horizontal="center"/>
      <protection hidden="1"/>
    </xf>
  </cellXfs>
  <cellStyles count="8">
    <cellStyle name="Normal" xfId="0"/>
    <cellStyle name="Comma" xfId="15"/>
    <cellStyle name="Comma [0]" xfId="16"/>
    <cellStyle name="Currency" xfId="17"/>
    <cellStyle name="Currency [0]" xfId="18"/>
    <cellStyle name="Hyperlink" xfId="19"/>
    <cellStyle name="Normal_Concrete Summary Report_Short Revise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2"/>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9"/>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33"/>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34"/>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35"/>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36"/>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7"/>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8"/>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54"/>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55"/>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56"/>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7"/>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8"/>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60"/>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63"/>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64"/>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65"/>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66"/>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7"/>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8"/>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72"/>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3429000</xdr:colOff>
      <xdr:row>0</xdr:row>
      <xdr:rowOff>0</xdr:rowOff>
    </xdr:from>
    <xdr:to>
      <xdr:col>14</xdr:col>
      <xdr:colOff>4762500</xdr:colOff>
      <xdr:row>4</xdr:row>
      <xdr:rowOff>171450</xdr:rowOff>
    </xdr:to>
    <xdr:pic>
      <xdr:nvPicPr>
        <xdr:cNvPr id="1" name="Picture 1"/>
        <xdr:cNvPicPr preferRelativeResize="1">
          <a:picLocks noChangeAspect="1"/>
        </xdr:cNvPicPr>
      </xdr:nvPicPr>
      <xdr:blipFill>
        <a:blip r:embed="rId1"/>
        <a:stretch>
          <a:fillRect/>
        </a:stretch>
      </xdr:blipFill>
      <xdr:spPr>
        <a:xfrm>
          <a:off x="15268575" y="0"/>
          <a:ext cx="1333500" cy="942975"/>
        </a:xfrm>
        <a:prstGeom prst="rect">
          <a:avLst/>
        </a:prstGeom>
        <a:noFill/>
        <a:ln w="9525" cmpd="sng">
          <a:noFill/>
        </a:ln>
      </xdr:spPr>
    </xdr:pic>
    <xdr:clientData/>
  </xdr:twoCellAnchor>
  <xdr:twoCellAnchor>
    <xdr:from>
      <xdr:col>1</xdr:col>
      <xdr:colOff>0</xdr:colOff>
      <xdr:row>39</xdr:row>
      <xdr:rowOff>190500</xdr:rowOff>
    </xdr:from>
    <xdr:to>
      <xdr:col>13</xdr:col>
      <xdr:colOff>704850</xdr:colOff>
      <xdr:row>44</xdr:row>
      <xdr:rowOff>209550</xdr:rowOff>
    </xdr:to>
    <xdr:sp>
      <xdr:nvSpPr>
        <xdr:cNvPr id="2" name="TextBox 3"/>
        <xdr:cNvSpPr txBox="1">
          <a:spLocks noChangeArrowheads="1"/>
        </xdr:cNvSpPr>
      </xdr:nvSpPr>
      <xdr:spPr>
        <a:xfrm>
          <a:off x="876300" y="11239500"/>
          <a:ext cx="10753725" cy="1114425"/>
        </a:xfrm>
        <a:prstGeom prst="rect">
          <a:avLst/>
        </a:prstGeom>
        <a:noFill/>
        <a:ln w="9525" cmpd="sng">
          <a:noFill/>
        </a:ln>
      </xdr:spPr>
      <xdr:txBody>
        <a:bodyPr vertOverflow="clip" wrap="square"/>
        <a:p>
          <a:pPr algn="l">
            <a:defRPr/>
          </a:pPr>
          <a:r>
            <a:rPr lang="en-US" cap="none" sz="1200" b="0" i="0" u="none" baseline="0"/>
            <a:t>FOR ACCEPTABLE CONCRETE, ACI  STATES THAT THE AVERAGE OF ALL SETS OF THREE CONSECUTIVE STRENGTH TESTS EQUAL OR EXCEED THE SPECIFIED STRENGTH, AND THAT NO INDIVIDUAL STRENGTH TEST (AVERAGE OF TWO  CYLINDERS) FALLS BELOW THE SPECIFIED STRENGTH BY MORE THAN 500 PSI.
Remarks:  *Denotes slump after addition of superplasticizer.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46.5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hibeault@une.edu"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2:K42"/>
  <sheetViews>
    <sheetView view="pageBreakPreview" zoomScaleSheetLayoutView="100" workbookViewId="0" topLeftCell="A1">
      <selection activeCell="B18" sqref="B18"/>
    </sheetView>
  </sheetViews>
  <sheetFormatPr defaultColWidth="9.00390625" defaultRowHeight="15.75"/>
  <cols>
    <col min="1" max="1" width="15.625" style="1" customWidth="1"/>
    <col min="2" max="2" width="14.625" style="1" customWidth="1"/>
    <col min="3" max="3" width="10.625" style="1" customWidth="1"/>
    <col min="4" max="4" width="8.625" style="1" customWidth="1"/>
    <col min="5" max="5" width="4.625" style="1" customWidth="1"/>
    <col min="6" max="7" width="12.625" style="1" customWidth="1"/>
    <col min="8" max="8" width="9.00390625" style="1" customWidth="1"/>
    <col min="9" max="9" width="4.625" style="1" customWidth="1"/>
    <col min="10" max="10" width="9.00390625" style="1" customWidth="1"/>
    <col min="11" max="11" width="11.625" style="1" customWidth="1"/>
    <col min="12" max="16384" width="9.00390625" style="1" customWidth="1"/>
  </cols>
  <sheetData>
    <row r="2" spans="1:4" ht="20.25">
      <c r="A2" s="2" t="s">
        <v>61</v>
      </c>
      <c r="C2" s="3"/>
      <c r="D2" s="3"/>
    </row>
    <row r="3" spans="1:4" ht="20.25">
      <c r="A3" s="3"/>
      <c r="B3" s="3"/>
      <c r="C3" s="3"/>
      <c r="D3" s="3"/>
    </row>
    <row r="4" spans="1:4" ht="20.25">
      <c r="A4" s="3"/>
      <c r="B4" s="65"/>
      <c r="C4" s="4" t="s">
        <v>42</v>
      </c>
      <c r="D4" s="3"/>
    </row>
    <row r="5" spans="1:4" ht="20.25">
      <c r="A5" s="3"/>
      <c r="B5" s="65"/>
      <c r="C5" s="4"/>
      <c r="D5" s="3"/>
    </row>
    <row r="6" spans="1:2" ht="15.75">
      <c r="A6" s="1" t="s">
        <v>41</v>
      </c>
      <c r="B6" s="8" t="s">
        <v>93</v>
      </c>
    </row>
    <row r="7" spans="1:6" ht="15.75">
      <c r="A7" s="1" t="s">
        <v>24</v>
      </c>
      <c r="B7" s="8" t="s">
        <v>91</v>
      </c>
      <c r="C7" s="9"/>
      <c r="D7" s="9"/>
      <c r="E7" s="9"/>
      <c r="F7" s="9"/>
    </row>
    <row r="8" spans="2:6" ht="15.75">
      <c r="B8" s="66"/>
      <c r="C8" s="67"/>
      <c r="D8" s="11"/>
      <c r="E8" s="11"/>
      <c r="F8" s="11"/>
    </row>
    <row r="9" spans="1:6" ht="15.75">
      <c r="A9" s="1" t="s">
        <v>0</v>
      </c>
      <c r="B9" s="8" t="s">
        <v>92</v>
      </c>
      <c r="C9" s="9"/>
      <c r="D9" s="9"/>
      <c r="E9" s="9"/>
      <c r="F9" s="9"/>
    </row>
    <row r="10" spans="2:6" ht="15.75">
      <c r="B10" s="68" t="s">
        <v>94</v>
      </c>
      <c r="C10" s="69"/>
      <c r="D10" s="69"/>
      <c r="E10" s="69"/>
      <c r="F10" s="69"/>
    </row>
    <row r="11" spans="1:6" ht="15.75">
      <c r="A11" s="5"/>
      <c r="B11" s="70" t="s">
        <v>95</v>
      </c>
      <c r="C11" s="71"/>
      <c r="D11" s="71"/>
      <c r="E11" s="71"/>
      <c r="F11" s="71"/>
    </row>
    <row r="12" spans="1:6" ht="15.75">
      <c r="A12" s="7" t="s">
        <v>54</v>
      </c>
      <c r="B12" s="72" t="s">
        <v>96</v>
      </c>
      <c r="C12" s="69"/>
      <c r="D12" s="69"/>
      <c r="E12" s="69"/>
      <c r="F12" s="69"/>
    </row>
    <row r="13" spans="2:6" ht="15.75">
      <c r="B13" s="73"/>
      <c r="C13" s="11"/>
      <c r="D13" s="11"/>
      <c r="E13" s="11"/>
      <c r="F13" s="11"/>
    </row>
    <row r="14" spans="1:6" ht="15.75">
      <c r="A14" s="1" t="s">
        <v>1</v>
      </c>
      <c r="B14" s="8" t="s">
        <v>97</v>
      </c>
      <c r="C14" s="5"/>
      <c r="D14" s="5"/>
      <c r="E14" s="5"/>
      <c r="F14" s="5"/>
    </row>
    <row r="15" ht="15.75">
      <c r="B15" s="74"/>
    </row>
    <row r="16" spans="1:3" ht="15.75">
      <c r="A16" s="1" t="s">
        <v>4</v>
      </c>
      <c r="B16" s="75" t="s">
        <v>98</v>
      </c>
      <c r="C16" s="5"/>
    </row>
    <row r="17" spans="1:3" ht="15.75">
      <c r="A17" s="1" t="s">
        <v>5</v>
      </c>
      <c r="B17" s="76" t="s">
        <v>99</v>
      </c>
      <c r="C17" s="5"/>
    </row>
    <row r="18" spans="1:3" ht="15.75">
      <c r="A18" s="1" t="s">
        <v>52</v>
      </c>
      <c r="B18" s="77" t="s">
        <v>100</v>
      </c>
      <c r="C18" s="5"/>
    </row>
    <row r="19" spans="2:3" ht="15.75">
      <c r="B19" s="22"/>
      <c r="C19" s="5"/>
    </row>
    <row r="20" ht="15.75">
      <c r="C20" s="15"/>
    </row>
    <row r="21" spans="1:5" ht="15.75">
      <c r="A21" s="20"/>
      <c r="B21" s="78"/>
      <c r="C21" s="79" t="s">
        <v>20</v>
      </c>
      <c r="D21" s="80"/>
      <c r="E21" s="81"/>
    </row>
    <row r="22" spans="1:5" ht="15.75">
      <c r="A22" s="20"/>
      <c r="B22" s="82" t="s">
        <v>33</v>
      </c>
      <c r="C22" s="82" t="s">
        <v>19</v>
      </c>
      <c r="D22" s="78" t="s">
        <v>15</v>
      </c>
      <c r="E22" s="81"/>
    </row>
    <row r="23" spans="1:5" ht="15.75">
      <c r="A23" s="20"/>
      <c r="B23" s="83" t="s">
        <v>32</v>
      </c>
      <c r="C23" s="84"/>
      <c r="D23" s="85"/>
      <c r="E23" s="86" t="s">
        <v>37</v>
      </c>
    </row>
    <row r="24" spans="1:5" ht="15.75">
      <c r="A24" s="20"/>
      <c r="B24" s="83" t="s">
        <v>26</v>
      </c>
      <c r="C24" s="84"/>
      <c r="D24" s="85"/>
      <c r="E24" s="86" t="s">
        <v>37</v>
      </c>
    </row>
    <row r="25" spans="1:5" ht="15.75">
      <c r="A25" s="20"/>
      <c r="B25" s="83" t="s">
        <v>27</v>
      </c>
      <c r="C25" s="84"/>
      <c r="D25" s="85"/>
      <c r="E25" s="86" t="s">
        <v>37</v>
      </c>
    </row>
    <row r="26" spans="2:5" ht="15.75">
      <c r="B26" s="83" t="s">
        <v>28</v>
      </c>
      <c r="C26" s="84"/>
      <c r="D26" s="85"/>
      <c r="E26" s="86" t="s">
        <v>38</v>
      </c>
    </row>
    <row r="27" spans="2:5" ht="15.75">
      <c r="B27" s="83" t="s">
        <v>40</v>
      </c>
      <c r="C27" s="84"/>
      <c r="D27" s="85"/>
      <c r="E27" s="86" t="s">
        <v>39</v>
      </c>
    </row>
    <row r="28" spans="2:5" ht="15.75">
      <c r="B28" s="83" t="s">
        <v>34</v>
      </c>
      <c r="C28" s="84"/>
      <c r="D28" s="85"/>
      <c r="E28" s="86" t="s">
        <v>39</v>
      </c>
    </row>
    <row r="29" spans="1:11" ht="18" customHeight="1">
      <c r="A29" s="5"/>
      <c r="B29" s="83" t="s">
        <v>35</v>
      </c>
      <c r="C29" s="84"/>
      <c r="D29" s="85"/>
      <c r="E29" s="86"/>
      <c r="F29" s="5"/>
      <c r="G29" s="64"/>
      <c r="H29" s="5"/>
      <c r="I29" s="5"/>
      <c r="J29" s="5"/>
      <c r="K29" s="5"/>
    </row>
    <row r="30" spans="1:11" ht="18" customHeight="1">
      <c r="A30" s="18"/>
      <c r="B30" s="83" t="s">
        <v>36</v>
      </c>
      <c r="C30" s="84"/>
      <c r="D30" s="85"/>
      <c r="E30" s="86"/>
      <c r="F30" s="18"/>
      <c r="G30" s="18"/>
      <c r="H30" s="18"/>
      <c r="I30" s="18"/>
      <c r="J30" s="5"/>
      <c r="K30" s="18"/>
    </row>
    <row r="31" spans="1:11" ht="18" customHeight="1">
      <c r="A31" s="18"/>
      <c r="B31" s="5"/>
      <c r="C31" s="16"/>
      <c r="D31" s="17"/>
      <c r="E31" s="18"/>
      <c r="F31" s="18"/>
      <c r="G31" s="18"/>
      <c r="H31" s="18"/>
      <c r="I31" s="18"/>
      <c r="J31" s="5"/>
      <c r="K31" s="18"/>
    </row>
    <row r="32" spans="1:11" ht="18" customHeight="1">
      <c r="A32" s="87" t="s">
        <v>53</v>
      </c>
      <c r="B32" s="88"/>
      <c r="C32" s="89"/>
      <c r="D32" s="90"/>
      <c r="E32" s="91"/>
      <c r="F32" s="91"/>
      <c r="G32" s="89"/>
      <c r="H32" s="92"/>
      <c r="I32" s="17"/>
      <c r="J32" s="93"/>
      <c r="K32" s="18"/>
    </row>
    <row r="33" spans="1:11" ht="18" customHeight="1">
      <c r="A33" s="94"/>
      <c r="B33" s="88"/>
      <c r="C33" s="89"/>
      <c r="D33" s="90"/>
      <c r="E33" s="91"/>
      <c r="F33" s="91"/>
      <c r="G33" s="89"/>
      <c r="H33" s="92"/>
      <c r="I33" s="17"/>
      <c r="J33" s="93"/>
      <c r="K33" s="18"/>
    </row>
    <row r="34" spans="1:11" ht="18" customHeight="1">
      <c r="A34" s="87"/>
      <c r="B34" s="95"/>
      <c r="C34" s="96"/>
      <c r="D34" s="97"/>
      <c r="E34" s="98"/>
      <c r="F34" s="98"/>
      <c r="G34" s="96"/>
      <c r="H34" s="92"/>
      <c r="I34" s="17"/>
      <c r="J34" s="93"/>
      <c r="K34" s="18"/>
    </row>
    <row r="35" spans="1:11" ht="18" customHeight="1">
      <c r="A35" s="87"/>
      <c r="B35" s="99"/>
      <c r="C35" s="100"/>
      <c r="D35" s="101"/>
      <c r="E35" s="102"/>
      <c r="F35" s="102"/>
      <c r="G35" s="100"/>
      <c r="H35" s="92"/>
      <c r="I35" s="17"/>
      <c r="J35" s="93"/>
      <c r="K35" s="18"/>
    </row>
    <row r="36" spans="1:11" ht="18" customHeight="1">
      <c r="A36" s="1" t="s">
        <v>21</v>
      </c>
      <c r="B36" s="88"/>
      <c r="C36" s="89"/>
      <c r="D36" s="90"/>
      <c r="E36" s="91"/>
      <c r="F36" s="91"/>
      <c r="G36" s="89"/>
      <c r="H36" s="92"/>
      <c r="I36" s="17"/>
      <c r="J36" s="93"/>
      <c r="K36" s="18"/>
    </row>
    <row r="37" spans="2:11" ht="18" customHeight="1">
      <c r="B37" s="95"/>
      <c r="C37" s="96"/>
      <c r="D37" s="97"/>
      <c r="E37" s="98"/>
      <c r="F37" s="98"/>
      <c r="G37" s="96"/>
      <c r="H37" s="92"/>
      <c r="I37" s="17"/>
      <c r="J37" s="93"/>
      <c r="K37" s="18"/>
    </row>
    <row r="38" spans="1:11" ht="18" customHeight="1">
      <c r="A38" s="103"/>
      <c r="B38" s="95"/>
      <c r="C38" s="96"/>
      <c r="D38" s="97"/>
      <c r="E38" s="98"/>
      <c r="F38" s="98"/>
      <c r="G38" s="96"/>
      <c r="H38" s="92"/>
      <c r="I38" s="17"/>
      <c r="J38" s="93"/>
      <c r="K38" s="18"/>
    </row>
    <row r="39" spans="2:7" ht="15.75">
      <c r="B39" s="95"/>
      <c r="C39" s="104"/>
      <c r="D39" s="104"/>
      <c r="E39" s="104"/>
      <c r="F39" s="104"/>
      <c r="G39" s="104"/>
    </row>
    <row r="40" spans="2:7" ht="15.75">
      <c r="B40" s="95"/>
      <c r="C40" s="104"/>
      <c r="D40" s="104"/>
      <c r="E40" s="104"/>
      <c r="F40" s="105"/>
      <c r="G40" s="104"/>
    </row>
    <row r="41" spans="6:7" ht="15.75">
      <c r="F41" s="5"/>
      <c r="G41" s="18"/>
    </row>
    <row r="42" spans="6:7" ht="15.75">
      <c r="F42" s="5"/>
      <c r="G42" s="18"/>
    </row>
  </sheetData>
  <sheetProtection password="CA8F" sheet="1" objects="1" scenarios="1"/>
  <hyperlinks>
    <hyperlink ref="B12" r:id="rId1" display="athibeault@une.edu"/>
  </hyperlinks>
  <printOptions/>
  <pageMargins left="0.61" right="0.54" top="1" bottom="0.5" header="0.5" footer="0.5"/>
  <pageSetup horizontalDpi="600" verticalDpi="600" orientation="portrait" r:id="rId3"/>
  <headerFooter alignWithMargins="0">
    <oddHeader>&amp;C&amp;"Times New Roman,Bold"&amp;10SUMMIT GEOENGINEERING SERVICES&amp;"Times New Roman,Regular"&amp;12
&amp;8 434 Cony Road, Augusta, Maine 04330
Phone: (207) 621-8334 Fax: (207) 626-9094</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1:P94"/>
  <sheetViews>
    <sheetView view="pageBreakPreview" zoomScale="75" zoomScaleSheetLayoutView="75" workbookViewId="0" topLeftCell="A1">
      <selection activeCell="B8" sqref="B8"/>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c r="C8" s="5"/>
      <c r="D8" s="5"/>
      <c r="E8" s="5"/>
      <c r="F8" s="5"/>
    </row>
    <row r="9" spans="1:6" ht="16.5" thickTop="1">
      <c r="A9" s="1" t="s">
        <v>3</v>
      </c>
      <c r="B9" s="143"/>
      <c r="C9" s="9"/>
      <c r="D9" s="9"/>
      <c r="E9" s="9"/>
      <c r="F9" s="9"/>
    </row>
    <row r="10" spans="2:11" ht="15.75">
      <c r="B10" s="143"/>
      <c r="C10" s="10"/>
      <c r="D10" s="10"/>
      <c r="E10" s="10"/>
      <c r="F10" s="10"/>
      <c r="K10" s="1" t="s">
        <v>89</v>
      </c>
    </row>
    <row r="11" spans="1:6" ht="15.75">
      <c r="A11" s="1" t="s">
        <v>2</v>
      </c>
      <c r="B11" s="144"/>
      <c r="C11" s="11"/>
      <c r="D11" s="11"/>
      <c r="E11" s="11"/>
      <c r="F11" s="11"/>
    </row>
    <row r="12" spans="1:2" ht="15.75">
      <c r="A12" s="1" t="s">
        <v>25</v>
      </c>
      <c r="B12" s="145"/>
    </row>
    <row r="13" spans="1:7" ht="15.75">
      <c r="A13" s="1" t="s">
        <v>7</v>
      </c>
      <c r="B13" s="146"/>
      <c r="G13" s="5"/>
    </row>
    <row r="14" spans="1:2" ht="15.75">
      <c r="A14" s="1" t="s">
        <v>8</v>
      </c>
      <c r="B14" s="146"/>
    </row>
    <row r="15" spans="1:9" ht="15.75">
      <c r="A15" s="1" t="s">
        <v>59</v>
      </c>
      <c r="B15" s="147"/>
      <c r="F15" s="13"/>
      <c r="G15" s="14"/>
      <c r="H15" s="13"/>
      <c r="I15" s="13"/>
    </row>
    <row r="16" spans="1:9" ht="15.75">
      <c r="A16" s="1" t="s">
        <v>4</v>
      </c>
      <c r="B16" s="176" t="s">
        <v>89</v>
      </c>
      <c r="F16" s="13"/>
      <c r="G16" s="14"/>
      <c r="H16" s="13"/>
      <c r="I16" s="13"/>
    </row>
    <row r="17" spans="1:9" ht="15.75">
      <c r="A17" s="1" t="s">
        <v>5</v>
      </c>
      <c r="B17" s="177" t="s">
        <v>89</v>
      </c>
      <c r="C17" s="15"/>
      <c r="F17" s="5"/>
      <c r="G17" s="16"/>
      <c r="H17" s="17"/>
      <c r="I17" s="18"/>
    </row>
    <row r="18" spans="1:9" ht="15.75">
      <c r="A18" s="1" t="s">
        <v>52</v>
      </c>
      <c r="B18" s="176"/>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c r="C21" s="5" t="s">
        <v>11</v>
      </c>
      <c r="D21" s="5"/>
      <c r="E21" s="94" t="s">
        <v>64</v>
      </c>
      <c r="F21" s="151"/>
      <c r="G21" s="173"/>
      <c r="H21" s="174"/>
      <c r="I21" s="175"/>
    </row>
    <row r="22" spans="1:9" ht="15.75">
      <c r="A22" s="20" t="s">
        <v>6</v>
      </c>
      <c r="B22" s="149"/>
      <c r="C22" s="5" t="s">
        <v>12</v>
      </c>
      <c r="D22" s="5"/>
      <c r="F22" s="171"/>
      <c r="G22" s="16"/>
      <c r="H22" s="17"/>
      <c r="I22" s="18"/>
    </row>
    <row r="23" spans="1:9" ht="18.75">
      <c r="A23" s="20" t="s">
        <v>55</v>
      </c>
      <c r="B23" s="150"/>
      <c r="C23" s="21" t="s">
        <v>13</v>
      </c>
      <c r="D23" s="5"/>
      <c r="E23" s="138" t="s">
        <v>86</v>
      </c>
      <c r="F23" s="172"/>
      <c r="G23" s="139" t="s">
        <v>88</v>
      </c>
      <c r="H23" s="151"/>
      <c r="I23" s="140" t="s">
        <v>85</v>
      </c>
    </row>
    <row r="24" spans="1:9" ht="18.75">
      <c r="A24" s="20" t="s">
        <v>9</v>
      </c>
      <c r="B24" s="150"/>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c r="B29" s="153">
        <f aca="true" t="shared" si="0" ref="B29:B34">IF(ISBLANK(C29),"",$B$11+C29)</f>
      </c>
      <c r="C29" s="154"/>
      <c r="D29" s="155"/>
      <c r="E29" s="156"/>
      <c r="F29" s="156"/>
      <c r="G29" s="157">
        <f aca="true" t="shared" si="1" ref="G29:G34">IF(ISBLANK(F29),"",(F29/(3.1416*D29^2*E29/(4*1728))))</f>
      </c>
      <c r="H29" s="158"/>
      <c r="I29" s="159"/>
      <c r="J29" s="160"/>
      <c r="K29" s="18"/>
    </row>
    <row r="30" spans="1:11" ht="18" customHeight="1">
      <c r="A30" s="152"/>
      <c r="B30" s="153">
        <f t="shared" si="0"/>
      </c>
      <c r="C30" s="154"/>
      <c r="D30" s="155"/>
      <c r="E30" s="156"/>
      <c r="F30" s="156"/>
      <c r="G30" s="157">
        <f t="shared" si="1"/>
      </c>
      <c r="H30" s="158"/>
      <c r="I30" s="159"/>
      <c r="J30" s="160"/>
      <c r="K30" s="18"/>
    </row>
    <row r="31" spans="1:11" ht="18" customHeight="1">
      <c r="A31" s="152"/>
      <c r="B31" s="153">
        <f t="shared" si="0"/>
      </c>
      <c r="C31" s="154"/>
      <c r="D31" s="155"/>
      <c r="E31" s="156"/>
      <c r="F31" s="156"/>
      <c r="G31" s="157">
        <f t="shared" si="1"/>
      </c>
      <c r="H31" s="158"/>
      <c r="I31" s="159"/>
      <c r="J31" s="160"/>
      <c r="K31" s="18"/>
    </row>
    <row r="32" spans="1:11" ht="18" customHeight="1">
      <c r="A32" s="152"/>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f>IF(ISBLANK(B8),"",B8)</f>
      </c>
      <c r="P57" s="94"/>
    </row>
    <row r="58" spans="1:8" ht="15.75">
      <c r="A58" s="1" t="s">
        <v>2</v>
      </c>
      <c r="B58" s="36">
        <f>IF(ISBLANK(B11),"",B11)</f>
      </c>
      <c r="E58" s="5"/>
      <c r="F58" s="5"/>
      <c r="G58" s="5"/>
      <c r="H58" s="5"/>
    </row>
    <row r="59" spans="1:2" ht="15.75">
      <c r="A59" s="1" t="s">
        <v>25</v>
      </c>
      <c r="B59" s="36">
        <f>IF(ISBLANK(B12),"",B12)</f>
      </c>
    </row>
    <row r="60" spans="1:6" ht="15.75">
      <c r="A60" s="1" t="s">
        <v>3</v>
      </c>
      <c r="B60" s="36">
        <f>IF(ISBLANK(B9),"",B9)</f>
      </c>
      <c r="C60" s="5"/>
      <c r="D60" s="5"/>
      <c r="E60" s="5"/>
      <c r="F60" s="5"/>
    </row>
    <row r="61" spans="2:6" ht="15.75">
      <c r="B61" s="36">
        <f>IF(ISBLANK(B10),"",B10)</f>
      </c>
      <c r="C61" s="5"/>
      <c r="D61" s="5"/>
      <c r="E61" s="5"/>
      <c r="F61" s="5"/>
    </row>
    <row r="62" spans="1:6" ht="15.75">
      <c r="A62" s="1" t="s">
        <v>59</v>
      </c>
      <c r="B62" s="36">
        <f>IF(ISBLANK(B15),"",B15)</f>
      </c>
      <c r="C62" s="5"/>
      <c r="D62" s="5"/>
      <c r="E62" s="5"/>
      <c r="F62" s="5"/>
    </row>
    <row r="63" spans="1:6" ht="15.75">
      <c r="A63" s="1" t="s">
        <v>52</v>
      </c>
      <c r="B63" s="35">
        <f>IF(ISBLANK(B18),"",B18)</f>
      </c>
      <c r="C63" s="5"/>
      <c r="D63" s="5"/>
      <c r="E63" s="5"/>
      <c r="F63" s="5"/>
    </row>
    <row r="64" spans="1:8" ht="15.75">
      <c r="A64" s="1" t="s">
        <v>4</v>
      </c>
      <c r="B64" s="35" t="str">
        <f>IF(ISBLANK(B16),"",B16)</f>
        <v> </v>
      </c>
      <c r="C64" s="5"/>
      <c r="F64" s="12"/>
      <c r="G64" s="12"/>
      <c r="H64" s="12"/>
    </row>
    <row r="65" spans="1:8" ht="15.75">
      <c r="A65" s="1" t="s">
        <v>5</v>
      </c>
      <c r="B65" s="35" t="str">
        <f>IF(ISBLANK(B17),"",B17)</f>
        <v> </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c>
      <c r="C68" s="5" t="s">
        <v>67</v>
      </c>
      <c r="E68" s="20"/>
      <c r="F68" s="5"/>
      <c r="G68" s="5"/>
      <c r="H68" s="18"/>
    </row>
    <row r="69" spans="1:8" ht="15.75">
      <c r="A69" s="20" t="s">
        <v>6</v>
      </c>
      <c r="B69" s="38">
        <f>IF(ISBLANK(B22),"",B22)</f>
      </c>
      <c r="C69" s="5" t="s">
        <v>12</v>
      </c>
      <c r="E69" s="20"/>
      <c r="F69" s="5"/>
      <c r="G69" s="5"/>
      <c r="H69" s="18"/>
    </row>
    <row r="70" spans="1:8" ht="18.75">
      <c r="A70" s="20" t="s">
        <v>65</v>
      </c>
      <c r="B70" s="38">
        <f>IF(ISBLANK(B23),"",B23)</f>
      </c>
      <c r="C70" s="21" t="s">
        <v>68</v>
      </c>
      <c r="E70" s="5"/>
      <c r="F70" s="5"/>
      <c r="G70" s="5"/>
      <c r="H70" s="18"/>
    </row>
    <row r="71" spans="1:8" ht="18.75">
      <c r="A71" s="20" t="s">
        <v>66</v>
      </c>
      <c r="B71" s="38">
        <f>IF(ISBLANK(B24),"",B24)</f>
      </c>
      <c r="C71" s="21" t="s">
        <v>68</v>
      </c>
      <c r="E71" s="5"/>
      <c r="F71" s="5"/>
      <c r="G71" s="5"/>
      <c r="H71" s="18"/>
    </row>
    <row r="72" spans="1:8" ht="15.75">
      <c r="A72" s="20" t="s">
        <v>87</v>
      </c>
      <c r="B72" s="38">
        <f>IF(ISBLANK(F23),"",F23)</f>
      </c>
      <c r="C72" s="137" t="s">
        <v>84</v>
      </c>
      <c r="D72" s="38">
        <f>IF(ISBLANK(H23),"",H23)</f>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f aca="true" t="shared" si="2" ref="A78:A83">IF(ISBLANK(A29),"",A29)</f>
      </c>
      <c r="B78" s="48">
        <f aca="true" t="shared" si="3" ref="B78:B83">B29</f>
      </c>
      <c r="C78" s="49">
        <f aca="true" t="shared" si="4" ref="C78:C83">IF(ISBLANK(C29),"",C29)</f>
      </c>
      <c r="D78" s="50">
        <f aca="true" t="shared" si="5" ref="D78:D83">IF(ISBLANK(I29),"",I29)</f>
      </c>
      <c r="E78" s="51">
        <f aca="true" t="shared" si="6" ref="E78:E83">IF(ISBLANK(G29),"",G29)</f>
      </c>
      <c r="F78" s="52">
        <f aca="true" t="shared" si="7" ref="F78:F83">IF(ISBLANK(D29),"",D29^2*3.1416/4)</f>
      </c>
      <c r="G78" s="53">
        <f aca="true" t="shared" si="8" ref="G78:G83">IF(ISBLANK(H29),"",H29)</f>
      </c>
      <c r="H78" s="54">
        <f aca="true" t="shared" si="9" ref="H78:H83">IF(ISBLANK(H29),"",ROUND(H29*1000/F78,-1))</f>
      </c>
    </row>
    <row r="79" spans="1:8" ht="15.75">
      <c r="A79" s="47">
        <f t="shared" si="2"/>
      </c>
      <c r="B79" s="55">
        <f t="shared" si="3"/>
      </c>
      <c r="C79" s="49">
        <f t="shared" si="4"/>
      </c>
      <c r="D79" s="50">
        <f t="shared" si="5"/>
      </c>
      <c r="E79" s="51">
        <f t="shared" si="6"/>
      </c>
      <c r="F79" s="52">
        <f t="shared" si="7"/>
      </c>
      <c r="G79" s="53">
        <f t="shared" si="8"/>
      </c>
      <c r="H79" s="54">
        <f t="shared" si="9"/>
      </c>
    </row>
    <row r="80" spans="1:8" ht="15.75">
      <c r="A80" s="47">
        <f t="shared" si="2"/>
      </c>
      <c r="B80" s="55">
        <f t="shared" si="3"/>
      </c>
      <c r="C80" s="49">
        <f t="shared" si="4"/>
      </c>
      <c r="D80" s="50">
        <f t="shared" si="5"/>
      </c>
      <c r="E80" s="51">
        <f t="shared" si="6"/>
      </c>
      <c r="F80" s="52">
        <f t="shared" si="7"/>
      </c>
      <c r="G80" s="53">
        <f t="shared" si="8"/>
      </c>
      <c r="H80" s="54">
        <f t="shared" si="9"/>
      </c>
    </row>
    <row r="81" spans="1:8" ht="15.75">
      <c r="A81" s="47">
        <f t="shared" si="2"/>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oddFooter>
  </headerFooter>
  <rowBreaks count="1" manualBreakCount="1">
    <brk id="44"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view="pageBreakPreview" zoomScale="75" zoomScaleNormal="50" zoomScaleSheetLayoutView="75" workbookViewId="0" topLeftCell="A1">
      <pane ySplit="9" topLeftCell="BM11" activePane="bottomLeft" state="frozen"/>
      <selection pane="topLeft" activeCell="A1" sqref="A1"/>
      <selection pane="bottomLeft" activeCell="A11" sqref="A11"/>
    </sheetView>
  </sheetViews>
  <sheetFormatPr defaultColWidth="9.00390625" defaultRowHeight="15.75"/>
  <cols>
    <col min="1" max="1" width="11.50390625" style="116" customWidth="1"/>
    <col min="2" max="2" width="11.75390625" style="116" customWidth="1"/>
    <col min="3" max="3" width="10.50390625" style="116" customWidth="1"/>
    <col min="4" max="4" width="11.25390625" style="116" customWidth="1"/>
    <col min="5" max="5" width="12.25390625" style="116" customWidth="1"/>
    <col min="6" max="6" width="10.25390625" style="116" customWidth="1"/>
    <col min="7" max="8" width="10.75390625" style="116" customWidth="1"/>
    <col min="9" max="9" width="11.50390625" style="116" customWidth="1"/>
    <col min="10" max="10" width="11.25390625" style="116" customWidth="1"/>
    <col min="11" max="11" width="8.00390625" style="116" customWidth="1"/>
    <col min="12" max="12" width="11.25390625" style="116" customWidth="1"/>
    <col min="13" max="13" width="12.375" style="116" customWidth="1"/>
    <col min="14" max="14" width="12.00390625" style="116" customWidth="1"/>
    <col min="15" max="15" width="62.75390625" style="116" customWidth="1"/>
    <col min="16" max="16384" width="8.00390625" style="116" customWidth="1"/>
  </cols>
  <sheetData>
    <row r="1" spans="1:15" ht="20.25">
      <c r="A1" s="114" t="s">
        <v>69</v>
      </c>
      <c r="B1" s="115"/>
      <c r="C1" s="193" t="s">
        <v>91</v>
      </c>
      <c r="D1" s="193"/>
      <c r="E1" s="193"/>
      <c r="F1" s="193"/>
      <c r="G1" s="193"/>
      <c r="H1" s="193"/>
      <c r="I1" s="193"/>
      <c r="J1" s="114" t="s">
        <v>70</v>
      </c>
      <c r="K1" s="115"/>
      <c r="L1" s="115"/>
      <c r="M1" s="193" t="str">
        <f>IF(ISBLANK(Project!B6),"",Project!B6)</f>
        <v>14063</v>
      </c>
      <c r="N1" s="193"/>
      <c r="O1" s="193"/>
    </row>
    <row r="2" spans="1:15" ht="20.25">
      <c r="A2" s="114" t="s">
        <v>0</v>
      </c>
      <c r="B2" s="115"/>
      <c r="C2" s="193" t="s">
        <v>92</v>
      </c>
      <c r="D2" s="193"/>
      <c r="E2" s="193"/>
      <c r="F2" s="193"/>
      <c r="G2" s="193"/>
      <c r="H2" s="193"/>
      <c r="I2" s="193"/>
      <c r="J2" s="114" t="s">
        <v>4</v>
      </c>
      <c r="K2" s="115"/>
      <c r="L2" s="115"/>
      <c r="M2" s="193" t="str">
        <f>IF(ISBLANK(Project!B16),"",Project!B16)</f>
        <v>3/4" Aggregate</v>
      </c>
      <c r="N2" s="193"/>
      <c r="O2" s="193"/>
    </row>
    <row r="3" spans="1:15" ht="20.25">
      <c r="A3" s="114" t="s">
        <v>52</v>
      </c>
      <c r="B3" s="115"/>
      <c r="C3" s="193" t="str">
        <f>IF(ISBLANK(Project!B18),"",Project!B18)</f>
        <v>Dragon Products</v>
      </c>
      <c r="D3" s="193"/>
      <c r="E3" s="193"/>
      <c r="F3" s="193"/>
      <c r="G3" s="193"/>
      <c r="H3" s="193"/>
      <c r="I3" s="193"/>
      <c r="J3" s="114" t="s">
        <v>5</v>
      </c>
      <c r="K3" s="115"/>
      <c r="L3" s="115"/>
      <c r="M3" s="193" t="str">
        <f>IF(ISBLANK(Project!B17),"",Project!B17)</f>
        <v>3000psi</v>
      </c>
      <c r="N3" s="193"/>
      <c r="O3" s="193"/>
    </row>
    <row r="4" spans="1:15" ht="18.75" hidden="1">
      <c r="A4" s="117"/>
      <c r="B4" s="118"/>
      <c r="C4" s="194"/>
      <c r="D4" s="194"/>
      <c r="E4" s="194"/>
      <c r="F4" s="194"/>
      <c r="G4" s="194"/>
      <c r="H4" s="194"/>
      <c r="I4" s="194"/>
      <c r="J4" s="117"/>
      <c r="K4" s="118"/>
      <c r="L4" s="118"/>
      <c r="M4" s="194"/>
      <c r="N4" s="194"/>
      <c r="O4" s="194"/>
    </row>
    <row r="5" spans="1:15" ht="15.75">
      <c r="A5" s="120"/>
      <c r="B5" s="118"/>
      <c r="C5" s="119"/>
      <c r="D5" s="119"/>
      <c r="E5" s="119"/>
      <c r="F5" s="119"/>
      <c r="G5" s="119"/>
      <c r="H5" s="119"/>
      <c r="I5" s="119"/>
      <c r="J5" s="120"/>
      <c r="K5" s="118"/>
      <c r="L5" s="119"/>
      <c r="M5" s="119"/>
      <c r="N5" s="119"/>
      <c r="O5" s="119"/>
    </row>
    <row r="6" spans="1:15" ht="12.75">
      <c r="A6" s="185" t="s">
        <v>71</v>
      </c>
      <c r="B6" s="185" t="s">
        <v>72</v>
      </c>
      <c r="C6" s="185" t="s">
        <v>46</v>
      </c>
      <c r="D6" s="185" t="s">
        <v>73</v>
      </c>
      <c r="E6" s="185" t="s">
        <v>83</v>
      </c>
      <c r="F6" s="185" t="s">
        <v>74</v>
      </c>
      <c r="G6" s="185" t="s">
        <v>75</v>
      </c>
      <c r="H6" s="185" t="s">
        <v>76</v>
      </c>
      <c r="I6" s="185" t="s">
        <v>76</v>
      </c>
      <c r="J6" s="185" t="s">
        <v>77</v>
      </c>
      <c r="K6" s="188" t="s">
        <v>78</v>
      </c>
      <c r="L6" s="185" t="s">
        <v>79</v>
      </c>
      <c r="M6" s="185" t="s">
        <v>80</v>
      </c>
      <c r="N6" s="185" t="s">
        <v>81</v>
      </c>
      <c r="O6" s="188" t="s">
        <v>82</v>
      </c>
    </row>
    <row r="7" spans="1:15" ht="12.75">
      <c r="A7" s="191"/>
      <c r="B7" s="186"/>
      <c r="C7" s="186"/>
      <c r="D7" s="186"/>
      <c r="E7" s="186"/>
      <c r="F7" s="186"/>
      <c r="G7" s="186"/>
      <c r="H7" s="186"/>
      <c r="I7" s="186"/>
      <c r="J7" s="186"/>
      <c r="K7" s="189"/>
      <c r="L7" s="186"/>
      <c r="M7" s="186"/>
      <c r="N7" s="186"/>
      <c r="O7" s="189"/>
    </row>
    <row r="8" spans="1:15" ht="12.75">
      <c r="A8" s="191"/>
      <c r="B8" s="186"/>
      <c r="C8" s="186"/>
      <c r="D8" s="186"/>
      <c r="E8" s="186"/>
      <c r="F8" s="186"/>
      <c r="G8" s="186"/>
      <c r="H8" s="186"/>
      <c r="I8" s="186"/>
      <c r="J8" s="186"/>
      <c r="K8" s="189"/>
      <c r="L8" s="186"/>
      <c r="M8" s="186"/>
      <c r="N8" s="186"/>
      <c r="O8" s="189"/>
    </row>
    <row r="9" spans="1:15" ht="12.75">
      <c r="A9" s="192"/>
      <c r="B9" s="187"/>
      <c r="C9" s="187"/>
      <c r="D9" s="187"/>
      <c r="E9" s="187"/>
      <c r="F9" s="187"/>
      <c r="G9" s="187"/>
      <c r="H9" s="187"/>
      <c r="I9" s="187"/>
      <c r="J9" s="187"/>
      <c r="K9" s="190"/>
      <c r="L9" s="187"/>
      <c r="M9" s="187"/>
      <c r="N9" s="187"/>
      <c r="O9" s="190"/>
    </row>
    <row r="10" spans="1:15" ht="24.75" customHeight="1">
      <c r="A10" s="121"/>
      <c r="B10" s="122"/>
      <c r="C10" s="178"/>
      <c r="D10" s="121"/>
      <c r="E10" s="121"/>
      <c r="F10" s="121"/>
      <c r="G10" s="121"/>
      <c r="H10" s="121"/>
      <c r="I10" s="121"/>
      <c r="J10" s="124">
        <f aca="true" t="shared" si="0" ref="J10:J39">IF(ISBLANK(H10),"",(H10+I10)/2)</f>
      </c>
      <c r="K10" s="124">
        <f aca="true" t="shared" si="1" ref="K10:K39">IF(ISBLANK(H10),"",H10-I10)</f>
      </c>
      <c r="L10" s="125"/>
      <c r="M10" s="126"/>
      <c r="N10" s="126">
        <f>IF(ISBLANK(I10),"",SUM(J10)/1)</f>
      </c>
      <c r="O10" s="127"/>
    </row>
    <row r="11" spans="1:15" ht="24.75" customHeight="1">
      <c r="A11" s="121" t="s">
        <v>101</v>
      </c>
      <c r="B11" s="122">
        <v>39569</v>
      </c>
      <c r="C11" s="123">
        <v>4.5</v>
      </c>
      <c r="D11" s="121">
        <v>4</v>
      </c>
      <c r="E11" s="121">
        <v>69</v>
      </c>
      <c r="F11" s="121">
        <v>2660</v>
      </c>
      <c r="G11" s="121"/>
      <c r="H11" s="121">
        <v>4520</v>
      </c>
      <c r="I11" s="121">
        <v>4470</v>
      </c>
      <c r="J11" s="124">
        <f t="shared" si="0"/>
        <v>4495</v>
      </c>
      <c r="K11" s="124">
        <f t="shared" si="1"/>
        <v>50</v>
      </c>
      <c r="L11" s="125">
        <v>3000</v>
      </c>
      <c r="M11" s="126"/>
      <c r="N11" s="126">
        <f>IF(ISBLANK(I11),"",SUM(J10:J11)/2)</f>
        <v>2247.5</v>
      </c>
      <c r="O11" s="127" t="s">
        <v>102</v>
      </c>
    </row>
    <row r="12" spans="1:15" ht="24.75" customHeight="1">
      <c r="A12" s="121" t="s">
        <v>111</v>
      </c>
      <c r="B12" s="122">
        <v>39582</v>
      </c>
      <c r="C12" s="123">
        <v>3.75</v>
      </c>
      <c r="D12" s="121">
        <v>5.5</v>
      </c>
      <c r="E12" s="121">
        <v>69.2</v>
      </c>
      <c r="F12" s="121">
        <v>3180</v>
      </c>
      <c r="G12" s="121"/>
      <c r="H12" s="121"/>
      <c r="I12" s="121"/>
      <c r="J12" s="124">
        <f t="shared" si="0"/>
      </c>
      <c r="K12" s="124">
        <f t="shared" si="1"/>
      </c>
      <c r="L12" s="125">
        <v>3000</v>
      </c>
      <c r="M12" s="126">
        <f aca="true" t="shared" si="2" ref="M12:M37">IF(ISBLANK(I12),"",(J10+J11+J12)/3)</f>
      </c>
      <c r="N12" s="126">
        <f>IF(ISBLANK(I12),"",SUM(J10:J12)/3)</f>
      </c>
      <c r="O12" s="127" t="s">
        <v>122</v>
      </c>
    </row>
    <row r="13" spans="1:15" ht="24.75" customHeight="1">
      <c r="A13" s="121" t="s">
        <v>123</v>
      </c>
      <c r="B13" s="122">
        <v>39582</v>
      </c>
      <c r="C13" s="123">
        <v>5</v>
      </c>
      <c r="D13" s="121">
        <v>5.7</v>
      </c>
      <c r="E13" s="121">
        <v>71.2</v>
      </c>
      <c r="F13" s="121">
        <v>2680</v>
      </c>
      <c r="G13" s="121"/>
      <c r="H13" s="121"/>
      <c r="I13" s="121"/>
      <c r="J13" s="124">
        <f t="shared" si="0"/>
      </c>
      <c r="K13" s="124">
        <f t="shared" si="1"/>
      </c>
      <c r="L13" s="125">
        <v>3000</v>
      </c>
      <c r="M13" s="126">
        <f t="shared" si="2"/>
      </c>
      <c r="N13" s="126">
        <f>IF(ISBLANK(I13),"",SUM(J10:J13)/4)</f>
      </c>
      <c r="O13" s="127" t="s">
        <v>131</v>
      </c>
    </row>
    <row r="14" spans="1:15" ht="24.75" customHeight="1">
      <c r="A14" s="121"/>
      <c r="B14" s="122"/>
      <c r="C14" s="123"/>
      <c r="D14" s="121"/>
      <c r="E14" s="121"/>
      <c r="F14" s="121"/>
      <c r="G14" s="121"/>
      <c r="H14" s="121"/>
      <c r="I14" s="121"/>
      <c r="J14" s="124">
        <f t="shared" si="0"/>
      </c>
      <c r="K14" s="124">
        <f t="shared" si="1"/>
      </c>
      <c r="L14" s="125"/>
      <c r="M14" s="126">
        <f t="shared" si="2"/>
      </c>
      <c r="N14" s="126">
        <f>IF(ISBLANK(I14),"",SUM(J10:J14)/5)</f>
      </c>
      <c r="O14" s="127"/>
    </row>
    <row r="15" spans="1:15" ht="24.75" customHeight="1">
      <c r="A15" s="121"/>
      <c r="B15" s="122"/>
      <c r="C15" s="123"/>
      <c r="D15" s="128"/>
      <c r="E15" s="121"/>
      <c r="F15" s="121"/>
      <c r="G15" s="121"/>
      <c r="H15" s="121"/>
      <c r="I15" s="121"/>
      <c r="J15" s="124">
        <f t="shared" si="0"/>
      </c>
      <c r="K15" s="124">
        <f t="shared" si="1"/>
      </c>
      <c r="L15" s="125"/>
      <c r="M15" s="126">
        <f t="shared" si="2"/>
      </c>
      <c r="N15" s="126">
        <f>IF(ISBLANK(I15),"",SUM(J10:J15)/6)</f>
      </c>
      <c r="O15" s="127"/>
    </row>
    <row r="16" spans="1:15" ht="24.75" customHeight="1">
      <c r="A16" s="121"/>
      <c r="B16" s="122"/>
      <c r="C16" s="123"/>
      <c r="D16" s="128"/>
      <c r="E16" s="121"/>
      <c r="F16" s="121"/>
      <c r="G16" s="121"/>
      <c r="H16" s="121"/>
      <c r="I16" s="121"/>
      <c r="J16" s="124">
        <f t="shared" si="0"/>
      </c>
      <c r="K16" s="124">
        <f t="shared" si="1"/>
      </c>
      <c r="L16" s="125"/>
      <c r="M16" s="126">
        <f t="shared" si="2"/>
      </c>
      <c r="N16" s="126">
        <f>IF(ISBLANK(I16),"",SUM(J10:J16)/7)</f>
      </c>
      <c r="O16" s="127"/>
    </row>
    <row r="17" spans="1:15" ht="24.75" customHeight="1">
      <c r="A17" s="121"/>
      <c r="B17" s="122"/>
      <c r="C17" s="123"/>
      <c r="D17" s="121"/>
      <c r="E17" s="121"/>
      <c r="F17" s="121"/>
      <c r="G17" s="121"/>
      <c r="H17" s="121"/>
      <c r="I17" s="121"/>
      <c r="J17" s="124">
        <f t="shared" si="0"/>
      </c>
      <c r="K17" s="124">
        <f t="shared" si="1"/>
      </c>
      <c r="L17" s="125"/>
      <c r="M17" s="126">
        <f t="shared" si="2"/>
      </c>
      <c r="N17" s="126">
        <f>IF(ISBLANK(I17),"",SUM(J10:J17)/8)</f>
      </c>
      <c r="O17" s="127"/>
    </row>
    <row r="18" spans="1:15" ht="24.75" customHeight="1">
      <c r="A18" s="121"/>
      <c r="B18" s="122"/>
      <c r="C18" s="123"/>
      <c r="D18" s="121"/>
      <c r="E18" s="121"/>
      <c r="F18" s="121"/>
      <c r="G18" s="121"/>
      <c r="H18" s="121"/>
      <c r="I18" s="121"/>
      <c r="J18" s="124">
        <f t="shared" si="0"/>
      </c>
      <c r="K18" s="124">
        <f t="shared" si="1"/>
      </c>
      <c r="L18" s="125"/>
      <c r="M18" s="126">
        <f t="shared" si="2"/>
      </c>
      <c r="N18" s="129">
        <f>IF(ISBLANK(I18),"",(SUM(J10:J18)/9))</f>
      </c>
      <c r="O18" s="127"/>
    </row>
    <row r="19" spans="1:15" ht="24.75" customHeight="1">
      <c r="A19" s="121"/>
      <c r="B19" s="122"/>
      <c r="C19" s="123"/>
      <c r="D19" s="121"/>
      <c r="E19" s="121"/>
      <c r="F19" s="121"/>
      <c r="G19" s="121"/>
      <c r="H19" s="121"/>
      <c r="I19" s="121"/>
      <c r="J19" s="124">
        <f t="shared" si="0"/>
      </c>
      <c r="K19" s="124">
        <f t="shared" si="1"/>
      </c>
      <c r="L19" s="125"/>
      <c r="M19" s="126">
        <f t="shared" si="2"/>
      </c>
      <c r="N19" s="129">
        <f>IF(ISBLANK(I19),"",(SUM(J10:J19)/10))</f>
      </c>
      <c r="O19" s="127"/>
    </row>
    <row r="20" spans="1:15" ht="24.75" customHeight="1">
      <c r="A20" s="121"/>
      <c r="B20" s="122"/>
      <c r="C20" s="123"/>
      <c r="D20" s="121"/>
      <c r="E20" s="121"/>
      <c r="F20" s="121"/>
      <c r="G20" s="121"/>
      <c r="H20" s="121"/>
      <c r="I20" s="121"/>
      <c r="J20" s="124">
        <f t="shared" si="0"/>
      </c>
      <c r="K20" s="124">
        <f t="shared" si="1"/>
      </c>
      <c r="L20" s="125"/>
      <c r="M20" s="126">
        <f t="shared" si="2"/>
      </c>
      <c r="N20" s="129">
        <f>IF(ISBLANK(I20),"",(SUM(J10:J20)/11))</f>
      </c>
      <c r="O20" s="127"/>
    </row>
    <row r="21" spans="1:15" ht="24.75" customHeight="1">
      <c r="A21" s="121"/>
      <c r="B21" s="122"/>
      <c r="C21" s="123"/>
      <c r="D21" s="121"/>
      <c r="E21" s="121"/>
      <c r="F21" s="121"/>
      <c r="G21" s="121"/>
      <c r="H21" s="121"/>
      <c r="I21" s="121"/>
      <c r="J21" s="124">
        <f t="shared" si="0"/>
      </c>
      <c r="K21" s="124">
        <f t="shared" si="1"/>
      </c>
      <c r="L21" s="125"/>
      <c r="M21" s="126">
        <f t="shared" si="2"/>
      </c>
      <c r="N21" s="129">
        <f>IF(ISBLANK(I21),"",(SUM(J10:J21)/12))</f>
      </c>
      <c r="O21" s="127"/>
    </row>
    <row r="22" spans="1:15" ht="24.75" customHeight="1">
      <c r="A22" s="121"/>
      <c r="B22" s="122"/>
      <c r="C22" s="123"/>
      <c r="D22" s="121"/>
      <c r="E22" s="121"/>
      <c r="F22" s="121"/>
      <c r="G22" s="121"/>
      <c r="H22" s="121"/>
      <c r="I22" s="121"/>
      <c r="J22" s="124">
        <f t="shared" si="0"/>
      </c>
      <c r="K22" s="124">
        <f t="shared" si="1"/>
      </c>
      <c r="L22" s="125"/>
      <c r="M22" s="126">
        <f t="shared" si="2"/>
      </c>
      <c r="N22" s="129">
        <f>IF(ISBLANK(I22),"",(SUM(J10:J22)/13))</f>
      </c>
      <c r="O22" s="127"/>
    </row>
    <row r="23" spans="1:15" ht="24.75" customHeight="1">
      <c r="A23" s="121"/>
      <c r="B23" s="122"/>
      <c r="C23" s="123"/>
      <c r="D23" s="121"/>
      <c r="E23" s="121"/>
      <c r="F23" s="121"/>
      <c r="G23" s="121"/>
      <c r="H23" s="121"/>
      <c r="I23" s="121"/>
      <c r="J23" s="124">
        <f t="shared" si="0"/>
      </c>
      <c r="K23" s="124">
        <f t="shared" si="1"/>
      </c>
      <c r="L23" s="125"/>
      <c r="M23" s="126">
        <f t="shared" si="2"/>
      </c>
      <c r="N23" s="129">
        <f>IF(ISBLANK(I23),"",(SUM(J10:J23)/14))</f>
      </c>
      <c r="O23" s="127"/>
    </row>
    <row r="24" spans="1:15" ht="24.75" customHeight="1">
      <c r="A24" s="121"/>
      <c r="B24" s="122"/>
      <c r="C24" s="123"/>
      <c r="D24" s="121"/>
      <c r="E24" s="121"/>
      <c r="F24" s="121"/>
      <c r="G24" s="121"/>
      <c r="H24" s="121"/>
      <c r="I24" s="121"/>
      <c r="J24" s="124">
        <f t="shared" si="0"/>
      </c>
      <c r="K24" s="124">
        <f t="shared" si="1"/>
      </c>
      <c r="L24" s="125"/>
      <c r="M24" s="126">
        <f t="shared" si="2"/>
      </c>
      <c r="N24" s="129">
        <f>IF(ISBLANK(I24),"",(SUM(J10:J24)/15))</f>
      </c>
      <c r="O24" s="127"/>
    </row>
    <row r="25" spans="1:15" ht="24.75" customHeight="1">
      <c r="A25" s="121"/>
      <c r="B25" s="122"/>
      <c r="C25" s="123"/>
      <c r="D25" s="121"/>
      <c r="E25" s="121"/>
      <c r="F25" s="121"/>
      <c r="G25" s="121"/>
      <c r="H25" s="121"/>
      <c r="I25" s="121"/>
      <c r="J25" s="124">
        <f t="shared" si="0"/>
      </c>
      <c r="K25" s="124">
        <f t="shared" si="1"/>
      </c>
      <c r="L25" s="125"/>
      <c r="M25" s="126">
        <f t="shared" si="2"/>
      </c>
      <c r="N25" s="129">
        <f>IF(ISBLANK(I25),"",(SUM(J10:J25)/16))</f>
      </c>
      <c r="O25" s="127"/>
    </row>
    <row r="26" spans="1:15" ht="24.75" customHeight="1">
      <c r="A26" s="121"/>
      <c r="B26" s="122"/>
      <c r="C26" s="123"/>
      <c r="D26" s="121"/>
      <c r="E26" s="121"/>
      <c r="F26" s="121"/>
      <c r="G26" s="121"/>
      <c r="H26" s="121"/>
      <c r="I26" s="121"/>
      <c r="J26" s="124">
        <f t="shared" si="0"/>
      </c>
      <c r="K26" s="124">
        <f t="shared" si="1"/>
      </c>
      <c r="L26" s="125"/>
      <c r="M26" s="126">
        <f t="shared" si="2"/>
      </c>
      <c r="N26" s="129">
        <f>IF(ISBLANK(I26),"",(SUM(J10:J26)/17))</f>
      </c>
      <c r="O26" s="127"/>
    </row>
    <row r="27" spans="1:15" ht="24.75" customHeight="1">
      <c r="A27" s="121"/>
      <c r="B27" s="122"/>
      <c r="C27" s="123"/>
      <c r="D27" s="121"/>
      <c r="E27" s="121"/>
      <c r="F27" s="121"/>
      <c r="G27" s="121"/>
      <c r="H27" s="121"/>
      <c r="I27" s="121"/>
      <c r="J27" s="124">
        <f t="shared" si="0"/>
      </c>
      <c r="K27" s="124">
        <f t="shared" si="1"/>
      </c>
      <c r="L27" s="125"/>
      <c r="M27" s="126">
        <f t="shared" si="2"/>
      </c>
      <c r="N27" s="129">
        <f>IF(ISBLANK(I27),"",(SUM(J10:J27)/18))</f>
      </c>
      <c r="O27" s="127"/>
    </row>
    <row r="28" spans="1:15" ht="24.75" customHeight="1">
      <c r="A28" s="121"/>
      <c r="B28" s="122"/>
      <c r="C28" s="123"/>
      <c r="D28" s="121"/>
      <c r="E28" s="121"/>
      <c r="F28" s="121"/>
      <c r="G28" s="121"/>
      <c r="H28" s="121"/>
      <c r="I28" s="121"/>
      <c r="J28" s="124">
        <f t="shared" si="0"/>
      </c>
      <c r="K28" s="124">
        <f t="shared" si="1"/>
      </c>
      <c r="L28" s="125"/>
      <c r="M28" s="126">
        <f t="shared" si="2"/>
      </c>
      <c r="N28" s="129">
        <f>IF(ISBLANK(I28),"",(SUM(J10:J28)/19))</f>
      </c>
      <c r="O28" s="127"/>
    </row>
    <row r="29" spans="1:15" ht="24.75" customHeight="1">
      <c r="A29" s="121"/>
      <c r="B29" s="122"/>
      <c r="C29" s="123"/>
      <c r="D29" s="121"/>
      <c r="E29" s="121"/>
      <c r="F29" s="121"/>
      <c r="G29" s="121"/>
      <c r="H29" s="121"/>
      <c r="I29" s="121"/>
      <c r="J29" s="124">
        <f t="shared" si="0"/>
      </c>
      <c r="K29" s="124">
        <f t="shared" si="1"/>
      </c>
      <c r="L29" s="125"/>
      <c r="M29" s="126">
        <f t="shared" si="2"/>
      </c>
      <c r="N29" s="129">
        <f>IF(ISBLANK(I29),"",(SUM(J10:J29)/20))</f>
      </c>
      <c r="O29" s="127"/>
    </row>
    <row r="30" spans="1:15" ht="24.75" customHeight="1">
      <c r="A30" s="121"/>
      <c r="B30" s="122"/>
      <c r="C30" s="123"/>
      <c r="D30" s="121"/>
      <c r="E30" s="121"/>
      <c r="F30" s="121"/>
      <c r="G30" s="121"/>
      <c r="H30" s="121"/>
      <c r="I30" s="121"/>
      <c r="J30" s="124">
        <f t="shared" si="0"/>
      </c>
      <c r="K30" s="124">
        <f t="shared" si="1"/>
      </c>
      <c r="L30" s="125"/>
      <c r="M30" s="126">
        <f t="shared" si="2"/>
      </c>
      <c r="N30" s="129">
        <f>IF(ISBLANK(I30),"",(SUM(J10:J30)/21))</f>
      </c>
      <c r="O30" s="127"/>
    </row>
    <row r="31" spans="1:15" ht="24.75" customHeight="1">
      <c r="A31" s="121"/>
      <c r="B31" s="122"/>
      <c r="C31" s="123"/>
      <c r="D31" s="121"/>
      <c r="E31" s="121"/>
      <c r="F31" s="121"/>
      <c r="G31" s="121"/>
      <c r="H31" s="121"/>
      <c r="I31" s="121"/>
      <c r="J31" s="124">
        <f t="shared" si="0"/>
      </c>
      <c r="K31" s="124">
        <f t="shared" si="1"/>
      </c>
      <c r="L31" s="125"/>
      <c r="M31" s="126">
        <f t="shared" si="2"/>
      </c>
      <c r="N31" s="129">
        <f>IF(ISBLANK(I31),"",(SUM(J10:J31)/22))</f>
      </c>
      <c r="O31" s="127"/>
    </row>
    <row r="32" spans="1:15" ht="24.75" customHeight="1">
      <c r="A32" s="121"/>
      <c r="B32" s="122"/>
      <c r="C32" s="123"/>
      <c r="D32" s="121"/>
      <c r="E32" s="121"/>
      <c r="F32" s="121"/>
      <c r="G32" s="121"/>
      <c r="H32" s="121"/>
      <c r="I32" s="121"/>
      <c r="J32" s="124">
        <f t="shared" si="0"/>
      </c>
      <c r="K32" s="124">
        <f t="shared" si="1"/>
      </c>
      <c r="L32" s="125"/>
      <c r="M32" s="126">
        <f t="shared" si="2"/>
      </c>
      <c r="N32" s="129">
        <f>IF(ISBLANK(I32),"",(SUM(J10:J32)/23))</f>
      </c>
      <c r="O32" s="127"/>
    </row>
    <row r="33" spans="1:15" ht="24.75" customHeight="1">
      <c r="A33" s="121"/>
      <c r="B33" s="122"/>
      <c r="C33" s="123"/>
      <c r="D33" s="121"/>
      <c r="E33" s="121"/>
      <c r="F33" s="121"/>
      <c r="G33" s="121"/>
      <c r="H33" s="121"/>
      <c r="I33" s="121"/>
      <c r="J33" s="124">
        <f t="shared" si="0"/>
      </c>
      <c r="K33" s="124">
        <f t="shared" si="1"/>
      </c>
      <c r="L33" s="125"/>
      <c r="M33" s="126">
        <f t="shared" si="2"/>
      </c>
      <c r="N33" s="129">
        <f>IF(ISBLANK(I33),"",(SUM(J10:J33)/24))</f>
      </c>
      <c r="O33" s="127"/>
    </row>
    <row r="34" spans="1:15" ht="24.75" customHeight="1">
      <c r="A34" s="121"/>
      <c r="B34" s="122"/>
      <c r="C34" s="123"/>
      <c r="D34" s="121"/>
      <c r="E34" s="121"/>
      <c r="F34" s="121"/>
      <c r="G34" s="121"/>
      <c r="H34" s="121"/>
      <c r="I34" s="121"/>
      <c r="J34" s="124">
        <f t="shared" si="0"/>
      </c>
      <c r="K34" s="124">
        <f t="shared" si="1"/>
      </c>
      <c r="L34" s="125"/>
      <c r="M34" s="126">
        <f t="shared" si="2"/>
      </c>
      <c r="N34" s="129">
        <f>IF(ISBLANK(I34),"",(SUM(J10:J34)/25))</f>
      </c>
      <c r="O34" s="127"/>
    </row>
    <row r="35" spans="1:15" ht="24.75" customHeight="1">
      <c r="A35" s="121"/>
      <c r="B35" s="122"/>
      <c r="C35" s="123"/>
      <c r="D35" s="121"/>
      <c r="E35" s="121"/>
      <c r="F35" s="121"/>
      <c r="G35" s="121"/>
      <c r="H35" s="121"/>
      <c r="I35" s="121"/>
      <c r="J35" s="124">
        <f t="shared" si="0"/>
      </c>
      <c r="K35" s="124">
        <f t="shared" si="1"/>
      </c>
      <c r="L35" s="125"/>
      <c r="M35" s="126">
        <f t="shared" si="2"/>
      </c>
      <c r="N35" s="129">
        <f>IF(ISBLANK(I35),"",(SUM(J10:J35)/26))</f>
      </c>
      <c r="O35" s="127"/>
    </row>
    <row r="36" spans="1:15" ht="24.75" customHeight="1">
      <c r="A36" s="121"/>
      <c r="B36" s="122"/>
      <c r="C36" s="123"/>
      <c r="D36" s="121"/>
      <c r="E36" s="121"/>
      <c r="F36" s="121"/>
      <c r="G36" s="121"/>
      <c r="H36" s="121"/>
      <c r="I36" s="121"/>
      <c r="J36" s="124">
        <f t="shared" si="0"/>
      </c>
      <c r="K36" s="124">
        <f t="shared" si="1"/>
      </c>
      <c r="L36" s="125"/>
      <c r="M36" s="126">
        <f t="shared" si="2"/>
      </c>
      <c r="N36" s="129">
        <f>IF(ISBLANK(I36),"",(SUM(J10:J36)/27))</f>
      </c>
      <c r="O36" s="127"/>
    </row>
    <row r="37" spans="1:15" ht="24.75" customHeight="1">
      <c r="A37" s="121"/>
      <c r="B37" s="122"/>
      <c r="C37" s="123"/>
      <c r="D37" s="121"/>
      <c r="E37" s="121"/>
      <c r="F37" s="121"/>
      <c r="G37" s="121"/>
      <c r="H37" s="121"/>
      <c r="I37" s="121"/>
      <c r="J37" s="124">
        <f t="shared" si="0"/>
      </c>
      <c r="K37" s="124">
        <f t="shared" si="1"/>
      </c>
      <c r="L37" s="125"/>
      <c r="M37" s="126">
        <f t="shared" si="2"/>
      </c>
      <c r="N37" s="129">
        <f>IF(ISBLANK(I37),"",(SUM(J10:J37)/28))</f>
      </c>
      <c r="O37" s="127"/>
    </row>
    <row r="38" spans="1:15" ht="24.75" customHeight="1">
      <c r="A38" s="130"/>
      <c r="B38" s="131"/>
      <c r="C38" s="132"/>
      <c r="D38" s="130"/>
      <c r="E38" s="130"/>
      <c r="F38" s="130"/>
      <c r="G38" s="130"/>
      <c r="H38" s="130"/>
      <c r="I38" s="130"/>
      <c r="J38" s="133">
        <f t="shared" si="0"/>
      </c>
      <c r="K38" s="124">
        <f t="shared" si="1"/>
      </c>
      <c r="L38" s="134"/>
      <c r="M38" s="129">
        <f>IF(ISBLANK(I38),"",(#REF!+#REF!+J38)/3)</f>
      </c>
      <c r="N38" s="129">
        <f>IF(ISBLANK(I38),"",(SUM(J10:J38)/37))</f>
      </c>
      <c r="O38" s="135"/>
    </row>
    <row r="39" spans="1:15" ht="24.75" customHeight="1">
      <c r="A39" s="130"/>
      <c r="B39" s="131"/>
      <c r="C39" s="132"/>
      <c r="D39" s="130"/>
      <c r="E39" s="130"/>
      <c r="F39" s="130"/>
      <c r="G39" s="130"/>
      <c r="H39" s="130"/>
      <c r="I39" s="130"/>
      <c r="J39" s="133">
        <f t="shared" si="0"/>
      </c>
      <c r="K39" s="133">
        <f t="shared" si="1"/>
      </c>
      <c r="L39" s="134"/>
      <c r="M39" s="129">
        <f>IF(ISBLANK(I39),"",(#REF!+J38+J39)/3)</f>
      </c>
      <c r="N39" s="129">
        <f>IF(ISBLANK(I39),"",(SUM(J10:J39)/38))</f>
      </c>
      <c r="O39" s="135"/>
    </row>
    <row r="40" spans="1:15" ht="18.75">
      <c r="A40" s="118"/>
      <c r="B40" s="136"/>
      <c r="C40" s="136"/>
      <c r="D40" s="136"/>
      <c r="E40" s="136"/>
      <c r="F40" s="136"/>
      <c r="G40" s="136"/>
      <c r="H40" s="136"/>
      <c r="I40" s="136"/>
      <c r="J40" s="136"/>
      <c r="K40" s="136"/>
      <c r="L40" s="136"/>
      <c r="M40" s="136"/>
      <c r="N40" s="136"/>
      <c r="O40" s="118"/>
    </row>
    <row r="41" spans="1:15" ht="18.75">
      <c r="A41" s="118"/>
      <c r="B41" s="136"/>
      <c r="C41" s="136"/>
      <c r="D41" s="136"/>
      <c r="E41" s="136"/>
      <c r="F41" s="136"/>
      <c r="G41" s="136"/>
      <c r="H41" s="136"/>
      <c r="I41" s="136"/>
      <c r="J41" s="136"/>
      <c r="K41" s="136"/>
      <c r="L41" s="136"/>
      <c r="M41" s="136"/>
      <c r="N41" s="136"/>
      <c r="O41" s="118"/>
    </row>
    <row r="42" spans="1:15" ht="18.75">
      <c r="A42" s="118"/>
      <c r="B42" s="136"/>
      <c r="C42" s="136"/>
      <c r="D42" s="136"/>
      <c r="E42" s="136"/>
      <c r="F42" s="136"/>
      <c r="G42" s="136"/>
      <c r="H42" s="136"/>
      <c r="I42" s="136"/>
      <c r="J42" s="136"/>
      <c r="K42" s="136"/>
      <c r="L42" s="136"/>
      <c r="M42" s="136"/>
      <c r="N42" s="136"/>
      <c r="O42" s="118"/>
    </row>
    <row r="43" spans="1:15" ht="9.75" customHeight="1">
      <c r="A43" s="118"/>
      <c r="B43" s="136"/>
      <c r="C43" s="136"/>
      <c r="D43" s="136"/>
      <c r="E43" s="136"/>
      <c r="F43" s="136"/>
      <c r="G43" s="136"/>
      <c r="H43" s="136"/>
      <c r="I43" s="136"/>
      <c r="J43" s="136"/>
      <c r="K43" s="136"/>
      <c r="L43" s="136"/>
      <c r="M43" s="136"/>
      <c r="N43" s="136"/>
      <c r="O43" s="118"/>
    </row>
    <row r="44" spans="2:15" ht="20.25">
      <c r="B44" s="115"/>
      <c r="C44" s="136"/>
      <c r="D44" s="136"/>
      <c r="E44" s="136"/>
      <c r="F44" s="136"/>
      <c r="G44" s="136"/>
      <c r="H44" s="136"/>
      <c r="I44" s="136"/>
      <c r="J44" s="136"/>
      <c r="K44" s="136"/>
      <c r="L44" s="136"/>
      <c r="M44" s="136"/>
      <c r="N44" s="136"/>
      <c r="O44" s="118"/>
    </row>
    <row r="45" spans="2:15" ht="20.25">
      <c r="B45" s="115"/>
      <c r="C45" s="136"/>
      <c r="D45" s="136"/>
      <c r="E45" s="136"/>
      <c r="F45" s="136"/>
      <c r="G45" s="136"/>
      <c r="H45" s="136"/>
      <c r="I45" s="136"/>
      <c r="J45" s="136"/>
      <c r="K45" s="136"/>
      <c r="L45" s="136"/>
      <c r="M45" s="136"/>
      <c r="N45" s="136"/>
      <c r="O45" s="118"/>
    </row>
    <row r="46" spans="2:4" ht="20.25">
      <c r="B46" s="115"/>
      <c r="D46" s="136"/>
    </row>
    <row r="47" ht="18.75">
      <c r="O47" s="136"/>
    </row>
  </sheetData>
  <sheetProtection password="CA8F" sheet="1" objects="1" scenarios="1"/>
  <mergeCells count="23">
    <mergeCell ref="C1:I1"/>
    <mergeCell ref="M1:O1"/>
    <mergeCell ref="C2:I2"/>
    <mergeCell ref="M2:O2"/>
    <mergeCell ref="C3:I3"/>
    <mergeCell ref="M3:O3"/>
    <mergeCell ref="C4:I4"/>
    <mergeCell ref="M4:O4"/>
    <mergeCell ref="A6:A9"/>
    <mergeCell ref="B6:B9"/>
    <mergeCell ref="C6:C9"/>
    <mergeCell ref="D6:D9"/>
    <mergeCell ref="E6:E9"/>
    <mergeCell ref="F6:F9"/>
    <mergeCell ref="G6:G9"/>
    <mergeCell ref="I6:I9"/>
    <mergeCell ref="H6:H9"/>
    <mergeCell ref="N6:N9"/>
    <mergeCell ref="O6:O9"/>
    <mergeCell ref="J6:J9"/>
    <mergeCell ref="K6:K9"/>
    <mergeCell ref="L6:L9"/>
    <mergeCell ref="M6:M9"/>
  </mergeCells>
  <printOptions/>
  <pageMargins left="0.25" right="0.25" top="0.75" bottom="0.5" header="0.25" footer="0.25"/>
  <pageSetup fitToHeight="1" fitToWidth="1" horizontalDpi="300" verticalDpi="300" orientation="landscape" scale="56" r:id="rId2"/>
  <headerFooter alignWithMargins="0">
    <oddHeader>&amp;C&amp;20Summit Geoengineering Services&amp;10
&amp;14 434 Cony Road, Augusta, Maine 04330
Phone: (207) 621-8334 Fax: (207) 626-9094</oddHeader>
  </headerFooter>
  <drawing r:id="rId1"/>
</worksheet>
</file>

<file path=xl/worksheets/sheet4.xml><?xml version="1.0" encoding="utf-8"?>
<worksheet xmlns="http://schemas.openxmlformats.org/spreadsheetml/2006/main" xmlns:r="http://schemas.openxmlformats.org/officeDocument/2006/relationships">
  <sheetPr codeName="Sheet5"/>
  <dimension ref="A1:P94"/>
  <sheetViews>
    <sheetView view="pageBreakPreview" zoomScale="75" zoomScaleSheetLayoutView="75" workbookViewId="0" topLeftCell="A1">
      <selection activeCell="D30" sqref="D30"/>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123</v>
      </c>
      <c r="C8" s="5"/>
      <c r="D8" s="5"/>
      <c r="E8" s="5"/>
      <c r="F8" s="5"/>
    </row>
    <row r="9" spans="1:6" ht="16.5" thickTop="1">
      <c r="A9" s="1" t="s">
        <v>3</v>
      </c>
      <c r="B9" s="143" t="s">
        <v>124</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125</v>
      </c>
      <c r="G13" s="5"/>
    </row>
    <row r="14" spans="1:2" ht="15.75">
      <c r="A14" s="1" t="s">
        <v>8</v>
      </c>
      <c r="B14" s="146" t="s">
        <v>126</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5.7</v>
      </c>
      <c r="C22" s="5" t="s">
        <v>12</v>
      </c>
      <c r="D22" s="5"/>
      <c r="F22" s="171"/>
      <c r="G22" s="16"/>
      <c r="H22" s="17"/>
      <c r="I22" s="18"/>
    </row>
    <row r="23" spans="1:9" ht="18.75">
      <c r="A23" s="20" t="s">
        <v>55</v>
      </c>
      <c r="B23" s="150">
        <v>71.2</v>
      </c>
      <c r="C23" s="21" t="s">
        <v>13</v>
      </c>
      <c r="D23" s="5"/>
      <c r="E23" s="138" t="s">
        <v>86</v>
      </c>
      <c r="F23" s="172">
        <v>10</v>
      </c>
      <c r="G23" s="139" t="s">
        <v>88</v>
      </c>
      <c r="H23" s="151">
        <v>100</v>
      </c>
      <c r="I23" s="140" t="s">
        <v>85</v>
      </c>
    </row>
    <row r="24" spans="1:9" ht="18.75">
      <c r="A24" s="20" t="s">
        <v>9</v>
      </c>
      <c r="B24" s="150">
        <v>72.8</v>
      </c>
      <c r="C24" s="21" t="s">
        <v>13</v>
      </c>
      <c r="D24" s="5"/>
      <c r="F24" s="5"/>
      <c r="G24" s="16"/>
      <c r="H24" s="17"/>
      <c r="I24" s="18"/>
    </row>
    <row r="25" spans="1:3" ht="15.75">
      <c r="A25" s="20" t="s">
        <v>10</v>
      </c>
      <c r="B25" s="150">
        <v>25</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127</v>
      </c>
      <c r="B29" s="153">
        <f aca="true" t="shared" si="0" ref="B29:B34">IF(ISBLANK(C29),"",$B$11+C29)</f>
        <v>39589</v>
      </c>
      <c r="C29" s="154">
        <v>7</v>
      </c>
      <c r="D29" s="155">
        <v>5.99</v>
      </c>
      <c r="E29" s="156">
        <v>12</v>
      </c>
      <c r="F29" s="156">
        <v>28.08</v>
      </c>
      <c r="G29" s="157">
        <f aca="true" t="shared" si="1" ref="G29:G34">IF(ISBLANK(F29),"",(F29/(3.1416*D29^2*E29/(4*1728))))</f>
        <v>143.48782541933025</v>
      </c>
      <c r="H29" s="158">
        <v>75.605</v>
      </c>
      <c r="I29" s="159">
        <v>5</v>
      </c>
      <c r="J29" s="160" t="s">
        <v>121</v>
      </c>
      <c r="K29" s="18"/>
    </row>
    <row r="30" spans="1:11" ht="18" customHeight="1">
      <c r="A30" s="152" t="s">
        <v>128</v>
      </c>
      <c r="B30" s="153">
        <f t="shared" si="0"/>
        <v>39610</v>
      </c>
      <c r="C30" s="154">
        <v>28</v>
      </c>
      <c r="D30" s="155"/>
      <c r="E30" s="156"/>
      <c r="F30" s="156"/>
      <c r="G30" s="157">
        <f t="shared" si="1"/>
      </c>
      <c r="H30" s="158"/>
      <c r="I30" s="159"/>
      <c r="J30" s="160"/>
      <c r="K30" s="18"/>
    </row>
    <row r="31" spans="1:11" ht="18" customHeight="1">
      <c r="A31" s="152" t="s">
        <v>129</v>
      </c>
      <c r="B31" s="153">
        <f t="shared" si="0"/>
        <v>39610</v>
      </c>
      <c r="C31" s="154">
        <v>28</v>
      </c>
      <c r="D31" s="155"/>
      <c r="E31" s="156"/>
      <c r="F31" s="156"/>
      <c r="G31" s="157">
        <f t="shared" si="1"/>
      </c>
      <c r="H31" s="158"/>
      <c r="I31" s="159"/>
      <c r="J31" s="160"/>
      <c r="K31" s="18"/>
    </row>
    <row r="32" spans="1:11" ht="18" customHeight="1">
      <c r="A32" s="152" t="s">
        <v>130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C3</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C.5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5.7</v>
      </c>
      <c r="C69" s="5" t="s">
        <v>12</v>
      </c>
      <c r="E69" s="20"/>
      <c r="F69" s="5"/>
      <c r="G69" s="5"/>
      <c r="H69" s="18"/>
    </row>
    <row r="70" spans="1:8" ht="18.75">
      <c r="A70" s="20" t="s">
        <v>65</v>
      </c>
      <c r="B70" s="38">
        <f>IF(ISBLANK(B23),"",B23)</f>
        <v>71.2</v>
      </c>
      <c r="C70" s="21" t="s">
        <v>68</v>
      </c>
      <c r="E70" s="5"/>
      <c r="F70" s="5"/>
      <c r="G70" s="5"/>
      <c r="H70" s="18"/>
    </row>
    <row r="71" spans="1:8" ht="18.75">
      <c r="A71" s="20" t="s">
        <v>66</v>
      </c>
      <c r="B71" s="38">
        <f>IF(ISBLANK(B24),"",B24)</f>
        <v>72.8</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C3a</v>
      </c>
      <c r="B78" s="48">
        <f aca="true" t="shared" si="3" ref="B78:B83">B29</f>
        <v>39589</v>
      </c>
      <c r="C78" s="49">
        <f aca="true" t="shared" si="4" ref="C78:C83">IF(ISBLANK(C29),"",C29)</f>
        <v>7</v>
      </c>
      <c r="D78" s="50">
        <f aca="true" t="shared" si="5" ref="D78:D83">IF(ISBLANK(I29),"",I29)</f>
        <v>5</v>
      </c>
      <c r="E78" s="51">
        <f aca="true" t="shared" si="6" ref="E78:E83">IF(ISBLANK(G29),"",G29)</f>
        <v>143.48782541933025</v>
      </c>
      <c r="F78" s="52">
        <f aca="true" t="shared" si="7" ref="F78:F83">IF(ISBLANK(D29),"",D29^2*3.1416/4)</f>
        <v>28.180230540000004</v>
      </c>
      <c r="G78" s="53">
        <f aca="true" t="shared" si="8" ref="G78:G83">IF(ISBLANK(H29),"",H29)</f>
        <v>75.605</v>
      </c>
      <c r="H78" s="54">
        <f aca="true" t="shared" si="9" ref="H78:H83">IF(ISBLANK(H29),"",ROUND(H29*1000/F78,-1))</f>
        <v>2680</v>
      </c>
    </row>
    <row r="79" spans="1:8" ht="15.75">
      <c r="A79" s="47" t="str">
        <f t="shared" si="2"/>
        <v>C3b</v>
      </c>
      <c r="B79" s="55">
        <f t="shared" si="3"/>
        <v>39610</v>
      </c>
      <c r="C79" s="49">
        <f t="shared" si="4"/>
        <v>28</v>
      </c>
      <c r="D79" s="50">
        <f t="shared" si="5"/>
      </c>
      <c r="E79" s="51">
        <f t="shared" si="6"/>
      </c>
      <c r="F79" s="52">
        <f t="shared" si="7"/>
      </c>
      <c r="G79" s="53">
        <f t="shared" si="8"/>
      </c>
      <c r="H79" s="54">
        <f t="shared" si="9"/>
      </c>
    </row>
    <row r="80" spans="1:8" ht="15.75">
      <c r="A80" s="47" t="str">
        <f t="shared" si="2"/>
        <v>C3c</v>
      </c>
      <c r="B80" s="55">
        <f t="shared" si="3"/>
        <v>39610</v>
      </c>
      <c r="C80" s="49">
        <f t="shared" si="4"/>
        <v>28</v>
      </c>
      <c r="D80" s="50">
        <f t="shared" si="5"/>
      </c>
      <c r="E80" s="51">
        <f t="shared" si="6"/>
      </c>
      <c r="F80" s="52">
        <f t="shared" si="7"/>
      </c>
      <c r="G80" s="53">
        <f t="shared" si="8"/>
      </c>
      <c r="H80" s="54">
        <f t="shared" si="9"/>
      </c>
    </row>
    <row r="81" spans="1:8" ht="15.75">
      <c r="A81" s="47" t="str">
        <f t="shared" si="2"/>
        <v>C3d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05/23/08   </oddFooter>
  </headerFooter>
  <rowBreaks count="1" manualBreakCount="1">
    <brk id="44" max="9" man="1"/>
  </rowBreaks>
  <drawing r:id="rId1"/>
</worksheet>
</file>

<file path=xl/worksheets/sheet5.xml><?xml version="1.0" encoding="utf-8"?>
<worksheet xmlns="http://schemas.openxmlformats.org/spreadsheetml/2006/main" xmlns:r="http://schemas.openxmlformats.org/officeDocument/2006/relationships">
  <sheetPr codeName="Sheet4"/>
  <dimension ref="A1:P94"/>
  <sheetViews>
    <sheetView view="pageBreakPreview" zoomScale="75" zoomScaleSheetLayoutView="75" workbookViewId="0" topLeftCell="A4">
      <selection activeCell="A3" sqref="A3"/>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111</v>
      </c>
      <c r="C8" s="5"/>
      <c r="D8" s="5"/>
      <c r="E8" s="5"/>
      <c r="F8" s="5"/>
    </row>
    <row r="9" spans="1:6" ht="16.5" thickTop="1">
      <c r="A9" s="1" t="s">
        <v>3</v>
      </c>
      <c r="B9" s="143" t="s">
        <v>112</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114</v>
      </c>
      <c r="G13" s="5"/>
    </row>
    <row r="14" spans="1:2" ht="15.75">
      <c r="A14" s="1" t="s">
        <v>8</v>
      </c>
      <c r="B14" s="146" t="s">
        <v>115</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3.75</v>
      </c>
      <c r="C21" s="5" t="s">
        <v>11</v>
      </c>
      <c r="D21" s="5"/>
      <c r="E21" s="94" t="s">
        <v>64</v>
      </c>
      <c r="F21" s="151" t="s">
        <v>116</v>
      </c>
      <c r="G21" s="173"/>
      <c r="H21" s="174"/>
      <c r="I21" s="175"/>
    </row>
    <row r="22" spans="1:9" ht="15.75">
      <c r="A22" s="20" t="s">
        <v>6</v>
      </c>
      <c r="B22" s="149">
        <v>5.5</v>
      </c>
      <c r="C22" s="5" t="s">
        <v>12</v>
      </c>
      <c r="D22" s="5"/>
      <c r="F22" s="171"/>
      <c r="G22" s="16"/>
      <c r="H22" s="17"/>
      <c r="I22" s="18"/>
    </row>
    <row r="23" spans="1:9" ht="18.75">
      <c r="A23" s="20" t="s">
        <v>55</v>
      </c>
      <c r="B23" s="150">
        <v>69.2</v>
      </c>
      <c r="C23" s="21" t="s">
        <v>13</v>
      </c>
      <c r="D23" s="5"/>
      <c r="E23" s="138" t="s">
        <v>86</v>
      </c>
      <c r="F23" s="172">
        <v>10</v>
      </c>
      <c r="G23" s="139" t="s">
        <v>88</v>
      </c>
      <c r="H23" s="151">
        <v>100</v>
      </c>
      <c r="I23" s="140" t="s">
        <v>85</v>
      </c>
    </row>
    <row r="24" spans="1:9" ht="18.75">
      <c r="A24" s="20" t="s">
        <v>9</v>
      </c>
      <c r="B24" s="150">
        <v>73.5</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117</v>
      </c>
      <c r="B29" s="153">
        <f aca="true" t="shared" si="0" ref="B29:B34">IF(ISBLANK(C29),"",$B$11+C29)</f>
        <v>39589</v>
      </c>
      <c r="C29" s="154">
        <v>7</v>
      </c>
      <c r="D29" s="155">
        <v>5.995</v>
      </c>
      <c r="E29" s="156">
        <v>12</v>
      </c>
      <c r="F29" s="156">
        <v>28.2</v>
      </c>
      <c r="G29" s="157">
        <f aca="true" t="shared" si="1" ref="G29:G34">IF(ISBLANK(F29),"",(F29/(3.1416*D29^2*E29/(4*1728))))</f>
        <v>143.86075281561418</v>
      </c>
      <c r="H29" s="158">
        <v>89.799</v>
      </c>
      <c r="I29" s="159">
        <v>5</v>
      </c>
      <c r="J29" s="160" t="s">
        <v>121</v>
      </c>
      <c r="K29" s="18"/>
    </row>
    <row r="30" spans="1:11" ht="18" customHeight="1">
      <c r="A30" s="152" t="s">
        <v>118</v>
      </c>
      <c r="B30" s="153">
        <f t="shared" si="0"/>
        <v>39610</v>
      </c>
      <c r="C30" s="154">
        <v>28</v>
      </c>
      <c r="D30" s="155"/>
      <c r="E30" s="156"/>
      <c r="F30" s="156"/>
      <c r="G30" s="157">
        <f t="shared" si="1"/>
      </c>
      <c r="H30" s="158"/>
      <c r="I30" s="159"/>
      <c r="J30" s="160"/>
      <c r="K30" s="18"/>
    </row>
    <row r="31" spans="1:11" ht="18" customHeight="1">
      <c r="A31" s="152" t="s">
        <v>119</v>
      </c>
      <c r="B31" s="153">
        <f t="shared" si="0"/>
        <v>39610</v>
      </c>
      <c r="C31" s="154">
        <v>28</v>
      </c>
      <c r="D31" s="155"/>
      <c r="E31" s="156"/>
      <c r="F31" s="156"/>
      <c r="G31" s="157">
        <f t="shared" si="1"/>
      </c>
      <c r="H31" s="158"/>
      <c r="I31" s="159"/>
      <c r="J31" s="160"/>
      <c r="K31" s="18"/>
    </row>
    <row r="32" spans="1:11" ht="18" customHeight="1">
      <c r="A32" s="152" t="s">
        <v>120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C2</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C.2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3.75</v>
      </c>
      <c r="C68" s="5" t="s">
        <v>67</v>
      </c>
      <c r="E68" s="20"/>
      <c r="F68" s="5"/>
      <c r="G68" s="5"/>
      <c r="H68" s="18"/>
    </row>
    <row r="69" spans="1:8" ht="15.75">
      <c r="A69" s="20" t="s">
        <v>6</v>
      </c>
      <c r="B69" s="38">
        <f>IF(ISBLANK(B22),"",B22)</f>
        <v>5.5</v>
      </c>
      <c r="C69" s="5" t="s">
        <v>12</v>
      </c>
      <c r="E69" s="20"/>
      <c r="F69" s="5"/>
      <c r="G69" s="5"/>
      <c r="H69" s="18"/>
    </row>
    <row r="70" spans="1:8" ht="18.75">
      <c r="A70" s="20" t="s">
        <v>65</v>
      </c>
      <c r="B70" s="38">
        <f>IF(ISBLANK(B23),"",B23)</f>
        <v>69.2</v>
      </c>
      <c r="C70" s="21" t="s">
        <v>68</v>
      </c>
      <c r="E70" s="5"/>
      <c r="F70" s="5"/>
      <c r="G70" s="5"/>
      <c r="H70" s="18"/>
    </row>
    <row r="71" spans="1:8" ht="18.75">
      <c r="A71" s="20" t="s">
        <v>66</v>
      </c>
      <c r="B71" s="38">
        <f>IF(ISBLANK(B24),"",B24)</f>
        <v>73.5</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C2a</v>
      </c>
      <c r="B78" s="48">
        <f aca="true" t="shared" si="3" ref="B78:B83">B29</f>
        <v>39589</v>
      </c>
      <c r="C78" s="49">
        <f aca="true" t="shared" si="4" ref="C78:C83">IF(ISBLANK(C29),"",C29)</f>
        <v>7</v>
      </c>
      <c r="D78" s="50">
        <f aca="true" t="shared" si="5" ref="D78:D83">IF(ISBLANK(I29),"",I29)</f>
        <v>5</v>
      </c>
      <c r="E78" s="51">
        <f aca="true" t="shared" si="6" ref="E78:E83">IF(ISBLANK(G29),"",G29)</f>
        <v>143.86075281561418</v>
      </c>
      <c r="F78" s="52">
        <f aca="true" t="shared" si="7" ref="F78:F83">IF(ISBLANK(D29),"",D29^2*3.1416/4)</f>
        <v>28.227295634999997</v>
      </c>
      <c r="G78" s="53">
        <f aca="true" t="shared" si="8" ref="G78:G83">IF(ISBLANK(H29),"",H29)</f>
        <v>89.799</v>
      </c>
      <c r="H78" s="54">
        <f aca="true" t="shared" si="9" ref="H78:H83">IF(ISBLANK(H29),"",ROUND(H29*1000/F78,-1))</f>
        <v>3180</v>
      </c>
    </row>
    <row r="79" spans="1:8" ht="15.75">
      <c r="A79" s="47" t="str">
        <f t="shared" si="2"/>
        <v>C2b</v>
      </c>
      <c r="B79" s="55">
        <f t="shared" si="3"/>
        <v>39610</v>
      </c>
      <c r="C79" s="49">
        <f t="shared" si="4"/>
        <v>28</v>
      </c>
      <c r="D79" s="50">
        <f t="shared" si="5"/>
      </c>
      <c r="E79" s="51">
        <f t="shared" si="6"/>
      </c>
      <c r="F79" s="52">
        <f t="shared" si="7"/>
      </c>
      <c r="G79" s="53">
        <f t="shared" si="8"/>
      </c>
      <c r="H79" s="54">
        <f t="shared" si="9"/>
      </c>
    </row>
    <row r="80" spans="1:8" ht="15.75">
      <c r="A80" s="47" t="str">
        <f t="shared" si="2"/>
        <v>C2c</v>
      </c>
      <c r="B80" s="55">
        <f t="shared" si="3"/>
        <v>39610</v>
      </c>
      <c r="C80" s="49">
        <f t="shared" si="4"/>
        <v>28</v>
      </c>
      <c r="D80" s="50">
        <f t="shared" si="5"/>
      </c>
      <c r="E80" s="51">
        <f t="shared" si="6"/>
      </c>
      <c r="F80" s="52">
        <f t="shared" si="7"/>
      </c>
      <c r="G80" s="53">
        <f t="shared" si="8"/>
      </c>
      <c r="H80" s="54">
        <f t="shared" si="9"/>
      </c>
    </row>
    <row r="81" spans="1:8" ht="15.75">
      <c r="A81" s="47" t="str">
        <f t="shared" si="2"/>
        <v>C2d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05/23/08   </oddFooter>
  </headerFooter>
  <rowBreaks count="1" manualBreakCount="1">
    <brk id="44" max="9" man="1"/>
  </rowBreaks>
  <drawing r:id="rId1"/>
</worksheet>
</file>

<file path=xl/worksheets/sheet6.xml><?xml version="1.0" encoding="utf-8"?>
<worksheet xmlns="http://schemas.openxmlformats.org/spreadsheetml/2006/main" xmlns:r="http://schemas.openxmlformats.org/officeDocument/2006/relationships">
  <sheetPr codeName="Sheet3"/>
  <dimension ref="A1:P94"/>
  <sheetViews>
    <sheetView tabSelected="1" view="pageBreakPreview" zoomScale="75" zoomScaleSheetLayoutView="75" workbookViewId="0" topLeftCell="A1">
      <selection activeCell="A2" sqref="A2"/>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101</v>
      </c>
      <c r="C8" s="5"/>
      <c r="D8" s="5"/>
      <c r="E8" s="5"/>
      <c r="F8" s="5"/>
    </row>
    <row r="9" spans="1:6" ht="16.5" thickTop="1">
      <c r="A9" s="1" t="s">
        <v>3</v>
      </c>
      <c r="B9" s="143" t="s">
        <v>102</v>
      </c>
      <c r="C9" s="9"/>
      <c r="D9" s="9"/>
      <c r="E9" s="9"/>
      <c r="F9" s="9"/>
    </row>
    <row r="10" spans="2:11" ht="15.75">
      <c r="B10" s="143"/>
      <c r="C10" s="10"/>
      <c r="D10" s="10"/>
      <c r="E10" s="10"/>
      <c r="F10" s="10"/>
      <c r="K10" s="1" t="s">
        <v>89</v>
      </c>
    </row>
    <row r="11" spans="1:6" ht="15.75">
      <c r="A11" s="1" t="s">
        <v>2</v>
      </c>
      <c r="B11" s="144">
        <v>39569</v>
      </c>
      <c r="C11" s="11"/>
      <c r="D11" s="11"/>
      <c r="E11" s="11"/>
      <c r="F11" s="11"/>
    </row>
    <row r="12" spans="1:2" ht="15.75">
      <c r="A12" s="1" t="s">
        <v>25</v>
      </c>
      <c r="B12" s="145">
        <v>39570</v>
      </c>
    </row>
    <row r="13" spans="1:7" ht="15.75">
      <c r="A13" s="1" t="s">
        <v>7</v>
      </c>
      <c r="B13" s="146" t="s">
        <v>103</v>
      </c>
      <c r="G13" s="5"/>
    </row>
    <row r="14" spans="1:2" ht="15.75">
      <c r="A14" s="1" t="s">
        <v>8</v>
      </c>
      <c r="B14" s="146" t="s">
        <v>104</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4.5</v>
      </c>
      <c r="C21" s="5" t="s">
        <v>11</v>
      </c>
      <c r="D21" s="5"/>
      <c r="E21" s="94" t="s">
        <v>64</v>
      </c>
      <c r="F21" s="151"/>
      <c r="G21" s="173"/>
      <c r="H21" s="174"/>
      <c r="I21" s="175"/>
    </row>
    <row r="22" spans="1:9" ht="15.75">
      <c r="A22" s="20" t="s">
        <v>6</v>
      </c>
      <c r="B22" s="149">
        <v>4</v>
      </c>
      <c r="C22" s="5" t="s">
        <v>12</v>
      </c>
      <c r="D22" s="5"/>
      <c r="F22" s="171"/>
      <c r="G22" s="16"/>
      <c r="H22" s="17"/>
      <c r="I22" s="18"/>
    </row>
    <row r="23" spans="1:9" ht="18.75">
      <c r="A23" s="20" t="s">
        <v>55</v>
      </c>
      <c r="B23" s="150">
        <v>69.6</v>
      </c>
      <c r="C23" s="21" t="s">
        <v>13</v>
      </c>
      <c r="D23" s="5"/>
      <c r="E23" s="138" t="s">
        <v>86</v>
      </c>
      <c r="F23" s="172">
        <v>10</v>
      </c>
      <c r="G23" s="139" t="s">
        <v>88</v>
      </c>
      <c r="H23" s="151">
        <v>46.5</v>
      </c>
      <c r="I23" s="140" t="s">
        <v>85</v>
      </c>
    </row>
    <row r="24" spans="1:9" ht="18.75">
      <c r="A24" s="20" t="s">
        <v>9</v>
      </c>
      <c r="B24" s="150">
        <v>49.8</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106</v>
      </c>
      <c r="B29" s="153">
        <f aca="true" t="shared" si="0" ref="B29:B34">IF(ISBLANK(C29),"",$B$11+C29)</f>
        <v>39576</v>
      </c>
      <c r="C29" s="154">
        <v>7</v>
      </c>
      <c r="D29" s="155">
        <v>5.988</v>
      </c>
      <c r="E29" s="156">
        <v>12</v>
      </c>
      <c r="F29" s="156">
        <v>28.13</v>
      </c>
      <c r="G29" s="157">
        <f aca="true" t="shared" si="1" ref="G29:G34">IF(ISBLANK(F29),"",(F29/(3.1416*D29^2*E29/(4*1728))))</f>
        <v>143.83936064382894</v>
      </c>
      <c r="H29" s="158">
        <v>74.799</v>
      </c>
      <c r="I29" s="159">
        <v>6</v>
      </c>
      <c r="J29" s="160" t="s">
        <v>110</v>
      </c>
      <c r="K29" s="18"/>
    </row>
    <row r="30" spans="1:11" ht="18" customHeight="1">
      <c r="A30" s="152" t="s">
        <v>107</v>
      </c>
      <c r="B30" s="153">
        <f t="shared" si="0"/>
        <v>39597</v>
      </c>
      <c r="C30" s="154">
        <v>28</v>
      </c>
      <c r="D30" s="155">
        <v>5.995</v>
      </c>
      <c r="E30" s="156">
        <v>12</v>
      </c>
      <c r="F30" s="156">
        <v>28.21</v>
      </c>
      <c r="G30" s="157">
        <f t="shared" si="1"/>
        <v>143.91176726696722</v>
      </c>
      <c r="H30" s="158">
        <v>126.132</v>
      </c>
      <c r="I30" s="159">
        <v>6</v>
      </c>
      <c r="J30" s="160" t="s">
        <v>121</v>
      </c>
      <c r="K30" s="18"/>
    </row>
    <row r="31" spans="1:11" ht="18" customHeight="1">
      <c r="A31" s="152" t="s">
        <v>108</v>
      </c>
      <c r="B31" s="153">
        <f t="shared" si="0"/>
        <v>39597</v>
      </c>
      <c r="C31" s="154">
        <v>28</v>
      </c>
      <c r="D31" s="155">
        <v>5.99</v>
      </c>
      <c r="E31" s="156">
        <v>12</v>
      </c>
      <c r="F31" s="156">
        <v>28.17</v>
      </c>
      <c r="G31" s="157">
        <f t="shared" si="1"/>
        <v>143.94772229567428</v>
      </c>
      <c r="H31" s="158">
        <v>127.446</v>
      </c>
      <c r="I31" s="159">
        <v>6</v>
      </c>
      <c r="J31" s="160" t="s">
        <v>121</v>
      </c>
      <c r="K31" s="18"/>
    </row>
    <row r="32" spans="1:11" ht="18" customHeight="1">
      <c r="A32" s="152" t="s">
        <v>109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v>
      </c>
      <c r="P57" s="94"/>
    </row>
    <row r="58" spans="1:8" ht="15.75">
      <c r="A58" s="1" t="s">
        <v>2</v>
      </c>
      <c r="B58" s="36">
        <f>IF(ISBLANK(B11),"",B11)</f>
        <v>39569</v>
      </c>
      <c r="E58" s="5"/>
      <c r="F58" s="5"/>
      <c r="G58" s="5"/>
      <c r="H58" s="5"/>
    </row>
    <row r="59" spans="1:2" ht="15.75">
      <c r="A59" s="1" t="s">
        <v>25</v>
      </c>
      <c r="B59" s="36">
        <f>IF(ISBLANK(B12),"",B12)</f>
        <v>39570</v>
      </c>
    </row>
    <row r="60" spans="1:6" ht="15.75">
      <c r="A60" s="1" t="s">
        <v>3</v>
      </c>
      <c r="B60" s="36" t="str">
        <f>IF(ISBLANK(B9),"",B9)</f>
        <v>Line 4 from F to G Footing and Foundation Wall</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4.5</v>
      </c>
      <c r="C68" s="5" t="s">
        <v>67</v>
      </c>
      <c r="E68" s="20"/>
      <c r="F68" s="5"/>
      <c r="G68" s="5"/>
      <c r="H68" s="18"/>
    </row>
    <row r="69" spans="1:8" ht="15.75">
      <c r="A69" s="20" t="s">
        <v>6</v>
      </c>
      <c r="B69" s="38">
        <f>IF(ISBLANK(B22),"",B22)</f>
        <v>4</v>
      </c>
      <c r="C69" s="5" t="s">
        <v>12</v>
      </c>
      <c r="E69" s="20"/>
      <c r="F69" s="5"/>
      <c r="G69" s="5"/>
      <c r="H69" s="18"/>
    </row>
    <row r="70" spans="1:8" ht="18.75">
      <c r="A70" s="20" t="s">
        <v>65</v>
      </c>
      <c r="B70" s="38">
        <f>IF(ISBLANK(B23),"",B23)</f>
        <v>69.6</v>
      </c>
      <c r="C70" s="21" t="s">
        <v>68</v>
      </c>
      <c r="E70" s="5"/>
      <c r="F70" s="5"/>
      <c r="G70" s="5"/>
      <c r="H70" s="18"/>
    </row>
    <row r="71" spans="1:8" ht="18.75">
      <c r="A71" s="20" t="s">
        <v>66</v>
      </c>
      <c r="B71" s="38">
        <f>IF(ISBLANK(B24),"",B24)</f>
        <v>49.8</v>
      </c>
      <c r="C71" s="21" t="s">
        <v>68</v>
      </c>
      <c r="E71" s="5"/>
      <c r="F71" s="5"/>
      <c r="G71" s="5"/>
      <c r="H71" s="18"/>
    </row>
    <row r="72" spans="1:8" ht="15.75">
      <c r="A72" s="20" t="s">
        <v>87</v>
      </c>
      <c r="B72" s="38">
        <f>IF(ISBLANK(F23),"",F23)</f>
        <v>10</v>
      </c>
      <c r="C72" s="137" t="s">
        <v>84</v>
      </c>
      <c r="D72" s="38">
        <f>IF(ISBLANK(H23),"",H23)</f>
        <v>46.5</v>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C1a</v>
      </c>
      <c r="B78" s="48">
        <f aca="true" t="shared" si="3" ref="B78:B83">B29</f>
        <v>39576</v>
      </c>
      <c r="C78" s="49">
        <f aca="true" t="shared" si="4" ref="C78:C83">IF(ISBLANK(C29),"",C29)</f>
        <v>7</v>
      </c>
      <c r="D78" s="50">
        <f aca="true" t="shared" si="5" ref="D78:D83">IF(ISBLANK(I29),"",I29)</f>
        <v>6</v>
      </c>
      <c r="E78" s="51">
        <f aca="true" t="shared" si="6" ref="E78:E83">IF(ISBLANK(G29),"",G29)</f>
        <v>143.83936064382894</v>
      </c>
      <c r="F78" s="52">
        <f aca="true" t="shared" si="7" ref="F78:F83">IF(ISBLANK(D29),"",D29^2*3.1416/4)</f>
        <v>28.161415497600004</v>
      </c>
      <c r="G78" s="53">
        <f aca="true" t="shared" si="8" ref="G78:G83">IF(ISBLANK(H29),"",H29)</f>
        <v>74.799</v>
      </c>
      <c r="H78" s="54">
        <f aca="true" t="shared" si="9" ref="H78:H83">IF(ISBLANK(H29),"",ROUND(H29*1000/F78,-1))</f>
        <v>2660</v>
      </c>
    </row>
    <row r="79" spans="1:8" ht="15.75">
      <c r="A79" s="47" t="str">
        <f t="shared" si="2"/>
        <v>C1b</v>
      </c>
      <c r="B79" s="55">
        <f t="shared" si="3"/>
        <v>39597</v>
      </c>
      <c r="C79" s="49">
        <f t="shared" si="4"/>
        <v>28</v>
      </c>
      <c r="D79" s="50">
        <f t="shared" si="5"/>
        <v>6</v>
      </c>
      <c r="E79" s="51">
        <f t="shared" si="6"/>
        <v>143.91176726696722</v>
      </c>
      <c r="F79" s="52">
        <f t="shared" si="7"/>
        <v>28.227295634999997</v>
      </c>
      <c r="G79" s="53">
        <f t="shared" si="8"/>
        <v>126.132</v>
      </c>
      <c r="H79" s="54">
        <f t="shared" si="9"/>
        <v>4470</v>
      </c>
    </row>
    <row r="80" spans="1:8" ht="15.75">
      <c r="A80" s="47" t="str">
        <f t="shared" si="2"/>
        <v>C1c</v>
      </c>
      <c r="B80" s="55">
        <f t="shared" si="3"/>
        <v>39597</v>
      </c>
      <c r="C80" s="49">
        <f t="shared" si="4"/>
        <v>28</v>
      </c>
      <c r="D80" s="50">
        <f t="shared" si="5"/>
        <v>6</v>
      </c>
      <c r="E80" s="51">
        <f t="shared" si="6"/>
        <v>143.94772229567428</v>
      </c>
      <c r="F80" s="52">
        <f t="shared" si="7"/>
        <v>28.180230540000004</v>
      </c>
      <c r="G80" s="53">
        <f t="shared" si="8"/>
        <v>127.446</v>
      </c>
      <c r="H80" s="54">
        <f t="shared" si="9"/>
        <v>4520</v>
      </c>
    </row>
    <row r="81" spans="1:8" ht="15.75">
      <c r="A81" s="47" t="str">
        <f t="shared" si="2"/>
        <v>C1d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4495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06/02/08   </oddFooter>
  </headerFooter>
  <rowBreaks count="1" manualBreakCount="1">
    <brk id="4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Peterlein</dc:creator>
  <cp:keywords/>
  <dc:description/>
  <cp:lastModifiedBy>janderson</cp:lastModifiedBy>
  <cp:lastPrinted>2008-06-02T13:48:10Z</cp:lastPrinted>
  <dcterms:created xsi:type="dcterms:W3CDTF">1999-01-15T00:23:39Z</dcterms:created>
  <dcterms:modified xsi:type="dcterms:W3CDTF">2008-06-04T20:03:18Z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